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5360" windowHeight="8700" activeTab="1"/>
  </bookViews>
  <sheets>
    <sheet name="Instructions" sheetId="1" r:id="rId1"/>
    <sheet name="Data" sheetId="2" r:id="rId2"/>
    <sheet name="Plot" sheetId="3" r:id="rId3"/>
  </sheets>
  <definedNames>
    <definedName name="delta">'Data'!$H$2</definedName>
    <definedName name="Ebar">'Data'!$H$7</definedName>
    <definedName name="ind">'Data'!$H$1</definedName>
    <definedName name="n">'Data'!$H$3</definedName>
    <definedName name="Ubar">'Data'!$H$6</definedName>
    <definedName name="z">'Data'!$K$8</definedName>
    <definedName name="z_B">'Data'!$M$8</definedName>
  </definedNames>
  <calcPr fullCalcOnLoad="1"/>
</workbook>
</file>

<file path=xl/comments2.xml><?xml version="1.0" encoding="utf-8"?>
<comments xmlns="http://schemas.openxmlformats.org/spreadsheetml/2006/main">
  <authors>
    <author>J?l?us Atlason</author>
  </authors>
  <commentList>
    <comment ref="H1" authorId="0">
      <text>
        <r>
          <rPr>
            <b/>
            <sz val="8"/>
            <rFont val="Tahoma"/>
            <family val="0"/>
          </rPr>
          <t>Júlíus Atlason:</t>
        </r>
        <r>
          <rPr>
            <sz val="8"/>
            <rFont val="Tahoma"/>
            <family val="0"/>
          </rPr>
          <t xml:space="preserve">
Set = 1 to let Ei=-ln(Ui)
otherwise Ei=-ln(Vi) for a new uniform variate Vi</t>
        </r>
      </text>
    </comment>
    <comment ref="H2" authorId="0">
      <text>
        <r>
          <rPr>
            <b/>
            <sz val="8"/>
            <rFont val="Tahoma"/>
            <family val="0"/>
          </rPr>
          <t>Júlíus Atlason:</t>
        </r>
        <r>
          <rPr>
            <sz val="8"/>
            <rFont val="Tahoma"/>
            <family val="0"/>
          </rPr>
          <t xml:space="preserve">
For a 1-delta confidence. E.g. set delta=10% for a 90% confidence</t>
        </r>
      </text>
    </comment>
  </commentList>
</comments>
</file>

<file path=xl/sharedStrings.xml><?xml version="1.0" encoding="utf-8"?>
<sst xmlns="http://schemas.openxmlformats.org/spreadsheetml/2006/main" count="53" uniqueCount="53">
  <si>
    <t>U</t>
  </si>
  <si>
    <t>E</t>
  </si>
  <si>
    <t>Ubar</t>
  </si>
  <si>
    <t>Ebar</t>
  </si>
  <si>
    <t>s12</t>
  </si>
  <si>
    <t>s22</t>
  </si>
  <si>
    <t>S</t>
  </si>
  <si>
    <t>Det(S)</t>
  </si>
  <si>
    <t>n</t>
  </si>
  <si>
    <t>2(n-1)/n(n-2)</t>
  </si>
  <si>
    <t>a</t>
  </si>
  <si>
    <t>b</t>
  </si>
  <si>
    <t>c</t>
  </si>
  <si>
    <t>z1</t>
  </si>
  <si>
    <t>y1</t>
  </si>
  <si>
    <t>y2</t>
  </si>
  <si>
    <t>z2p</t>
  </si>
  <si>
    <t>z2n</t>
  </si>
  <si>
    <t>y2n</t>
  </si>
  <si>
    <t>CI_plot</t>
  </si>
  <si>
    <t>CI_Bonf_Plot</t>
  </si>
  <si>
    <t>Estimate</t>
  </si>
  <si>
    <t>f</t>
  </si>
  <si>
    <t>delta</t>
  </si>
  <si>
    <t>z</t>
  </si>
  <si>
    <t>z_Bonf</t>
  </si>
  <si>
    <t>Independent</t>
  </si>
  <si>
    <t>rho</t>
  </si>
  <si>
    <t>100(1-delta) conf. interv.</t>
  </si>
  <si>
    <t>True mean</t>
  </si>
  <si>
    <t>100(1-delta) simultaneous conf. interv.</t>
  </si>
  <si>
    <r>
      <t>S</t>
    </r>
    <r>
      <rPr>
        <b/>
        <vertAlign val="superscript"/>
        <sz val="10"/>
        <rFont val="Arial"/>
        <family val="2"/>
      </rPr>
      <t>-1</t>
    </r>
  </si>
  <si>
    <t>s11</t>
  </si>
  <si>
    <t>This workbook demonstrates confidence intervals for multiple output performance measures.</t>
  </si>
  <si>
    <t xml:space="preserve">All the computation is contained in the worksheet "Data". </t>
  </si>
  <si>
    <t>A plot of the confidence regions is included in the worksheet "Plot".</t>
  </si>
  <si>
    <t>The demo problem is to construct confidence intervals for the mean of the Uniform(0,1) and Exponential(1) random variables.</t>
  </si>
  <si>
    <t xml:space="preserve">An option is to have the uniform and exponantial random variate dependent within each replication. </t>
  </si>
  <si>
    <t>Then the Exp(1) r.v. is generated by E=-LN(U) where U is the Unif(0,1) random variable.</t>
  </si>
  <si>
    <t>Otherwise two separate Unif(0,1) r.v.s U an V are generated and E=-LN(V).</t>
  </si>
  <si>
    <t>This option is set by letting the value in cell "H1" = 1 for independent observations and 0 for dependent observations.</t>
  </si>
  <si>
    <t xml:space="preserve">is computed where </t>
  </si>
  <si>
    <r>
      <t>a</t>
    </r>
    <r>
      <rPr>
        <sz val="10"/>
        <rFont val="Arial"/>
        <family val="0"/>
      </rPr>
      <t>(n)=(Ubar,Ebar)</t>
    </r>
    <r>
      <rPr>
        <vertAlign val="superscript"/>
        <sz val="10"/>
        <rFont val="Arial"/>
        <family val="2"/>
      </rPr>
      <t>T</t>
    </r>
  </si>
  <si>
    <t>and f is such that P(F&gt;f)=1-delta for a random variable F whaving the F-distribution with 2 and n-2 degrees of freedom.</t>
  </si>
  <si>
    <t xml:space="preserve">A 100(1-delta)% confidence region satisfying </t>
  </si>
  <si>
    <t xml:space="preserve">Individual 100(1-delta)% confidence intervals and simultaneous 100(1-delta)% confidence intervals </t>
  </si>
  <si>
    <t>based on the Bonferroni inequality are computed.</t>
  </si>
  <si>
    <r>
      <t>The vector z is defined as y-</t>
    </r>
    <r>
      <rPr>
        <sz val="10"/>
        <rFont val="Symbol"/>
        <family val="1"/>
      </rPr>
      <t>a</t>
    </r>
    <r>
      <rPr>
        <sz val="10"/>
        <rFont val="Arial"/>
        <family val="0"/>
      </rPr>
      <t>(n). For a given value of z1 the value of z2 can computed by solving equation 1.</t>
    </r>
  </si>
  <si>
    <t>The equation has 2 solutions: z2p and z2n which can both be used.</t>
  </si>
  <si>
    <r>
      <t>This gives an equation of the form a(z2)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+bz2+c=0.</t>
    </r>
  </si>
  <si>
    <t xml:space="preserve">When y is computed from the z-vector a check is made that the equation above had a solution. If it does not a value tor y1 and y2 is returned </t>
  </si>
  <si>
    <t>for which a solution does exist (i.e., no new point is created).</t>
  </si>
  <si>
    <r>
      <t>DO NOT CHANGE THE CELL</t>
    </r>
    <r>
      <rPr>
        <sz val="10"/>
        <rFont val="Arial"/>
        <family val="0"/>
      </rPr>
      <t xml:space="preserve"> z1=0, since z1=0 is the only value of z1 such that a solution is guaranteed to exist for z2.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</si>
</sst>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"/>
    <numFmt numFmtId="169" formatCode="0.0000000000"/>
    <numFmt numFmtId="170" formatCode="0.00000000"/>
    <numFmt numFmtId="171" formatCode="0.0000000"/>
    <numFmt numFmtId="172" formatCode="0.000000"/>
  </numFmts>
  <fonts count="12">
    <font>
      <sz val="10"/>
      <name val="Arial"/>
      <family val="0"/>
    </font>
    <font>
      <sz val="8"/>
      <name val="Arial"/>
      <family val="0"/>
    </font>
    <font>
      <sz val="1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2" borderId="0" xfId="0" applyNumberForma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3" borderId="13" xfId="0" applyNumberFormat="1" applyFill="1" applyBorder="1" applyAlignment="1">
      <alignment/>
    </xf>
    <xf numFmtId="166" fontId="0" fillId="3" borderId="14" xfId="0" applyNumberFormat="1" applyFill="1" applyBorder="1" applyAlignment="1">
      <alignment/>
    </xf>
    <xf numFmtId="166" fontId="0" fillId="3" borderId="15" xfId="0" applyNumberFormat="1" applyFill="1" applyBorder="1" applyAlignment="1">
      <alignment/>
    </xf>
    <xf numFmtId="166" fontId="0" fillId="3" borderId="16" xfId="0" applyNumberFormat="1" applyFill="1" applyBorder="1" applyAlignment="1">
      <alignment/>
    </xf>
    <xf numFmtId="166" fontId="0" fillId="4" borderId="13" xfId="0" applyNumberFormat="1" applyFill="1" applyBorder="1" applyAlignment="1">
      <alignment/>
    </xf>
    <xf numFmtId="166" fontId="0" fillId="4" borderId="14" xfId="0" applyNumberFormat="1" applyFill="1" applyBorder="1" applyAlignment="1">
      <alignment/>
    </xf>
    <xf numFmtId="166" fontId="0" fillId="4" borderId="15" xfId="0" applyNumberFormat="1" applyFill="1" applyBorder="1" applyAlignment="1">
      <alignment/>
    </xf>
    <xf numFmtId="166" fontId="0" fillId="4" borderId="16" xfId="0" applyNumberFormat="1" applyFill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6" fontId="0" fillId="0" borderId="19" xfId="0" applyNumberFormat="1" applyBorder="1" applyAlignment="1">
      <alignment/>
    </xf>
    <xf numFmtId="166" fontId="0" fillId="5" borderId="13" xfId="0" applyNumberFormat="1" applyFill="1" applyBorder="1" applyAlignment="1">
      <alignment/>
    </xf>
    <xf numFmtId="166" fontId="0" fillId="5" borderId="14" xfId="0" applyNumberFormat="1" applyFill="1" applyBorder="1" applyAlignment="1">
      <alignment/>
    </xf>
    <xf numFmtId="166" fontId="0" fillId="5" borderId="15" xfId="0" applyNumberFormat="1" applyFill="1" applyBorder="1" applyAlignment="1">
      <alignment/>
    </xf>
    <xf numFmtId="166" fontId="0" fillId="5" borderId="16" xfId="0" applyNumberFormat="1" applyFill="1" applyBorder="1" applyAlignment="1">
      <alignment/>
    </xf>
    <xf numFmtId="166" fontId="0" fillId="6" borderId="13" xfId="0" applyNumberFormat="1" applyFill="1" applyBorder="1" applyAlignment="1">
      <alignment/>
    </xf>
    <xf numFmtId="166" fontId="0" fillId="6" borderId="14" xfId="0" applyNumberFormat="1" applyFill="1" applyBorder="1" applyAlignment="1">
      <alignment/>
    </xf>
    <xf numFmtId="166" fontId="0" fillId="6" borderId="15" xfId="0" applyNumberFormat="1" applyFill="1" applyBorder="1" applyAlignment="1">
      <alignment/>
    </xf>
    <xf numFmtId="166" fontId="0" fillId="6" borderId="16" xfId="0" applyNumberFormat="1" applyFill="1" applyBorder="1" applyAlignment="1">
      <alignment/>
    </xf>
    <xf numFmtId="166" fontId="0" fillId="7" borderId="13" xfId="0" applyNumberFormat="1" applyFill="1" applyBorder="1" applyAlignment="1">
      <alignment/>
    </xf>
    <xf numFmtId="166" fontId="0" fillId="7" borderId="14" xfId="0" applyNumberFormat="1" applyFill="1" applyBorder="1" applyAlignment="1">
      <alignment/>
    </xf>
    <xf numFmtId="166" fontId="0" fillId="7" borderId="15" xfId="0" applyNumberFormat="1" applyFill="1" applyBorder="1" applyAlignment="1">
      <alignment/>
    </xf>
    <xf numFmtId="166" fontId="0" fillId="7" borderId="1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" fontId="0" fillId="0" borderId="19" xfId="0" applyNumberFormat="1" applyBorder="1" applyAlignment="1">
      <alignment/>
    </xf>
    <xf numFmtId="9" fontId="0" fillId="0" borderId="19" xfId="21" applyBorder="1" applyAlignment="1">
      <alignment/>
    </xf>
    <xf numFmtId="1" fontId="0" fillId="0" borderId="19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7" xfId="0" applyNumberFormat="1" applyBorder="1" applyAlignment="1">
      <alignment/>
    </xf>
    <xf numFmtId="166" fontId="7" fillId="0" borderId="20" xfId="0" applyNumberFormat="1" applyFont="1" applyBorder="1" applyAlignment="1">
      <alignment horizontal="center"/>
    </xf>
    <xf numFmtId="166" fontId="0" fillId="0" borderId="21" xfId="0" applyNumberFormat="1" applyBorder="1" applyAlignment="1">
      <alignment/>
    </xf>
    <xf numFmtId="166" fontId="7" fillId="3" borderId="13" xfId="0" applyNumberFormat="1" applyFont="1" applyFill="1" applyBorder="1" applyAlignment="1">
      <alignment/>
    </xf>
    <xf numFmtId="166" fontId="7" fillId="0" borderId="17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7" fillId="4" borderId="13" xfId="0" applyNumberFormat="1" applyFont="1" applyFill="1" applyBorder="1" applyAlignment="1">
      <alignment/>
    </xf>
    <xf numFmtId="166" fontId="7" fillId="0" borderId="19" xfId="0" applyNumberFormat="1" applyFont="1" applyFill="1" applyBorder="1" applyAlignment="1">
      <alignment/>
    </xf>
    <xf numFmtId="166" fontId="7" fillId="5" borderId="22" xfId="0" applyNumberFormat="1" applyFont="1" applyFill="1" applyBorder="1" applyAlignment="1">
      <alignment/>
    </xf>
    <xf numFmtId="166" fontId="7" fillId="5" borderId="23" xfId="0" applyNumberFormat="1" applyFont="1" applyFill="1" applyBorder="1" applyAlignment="1">
      <alignment/>
    </xf>
    <xf numFmtId="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7" xfId="0" applyNumberForma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166" fontId="7" fillId="0" borderId="13" xfId="0" applyNumberFormat="1" applyFont="1" applyFill="1" applyBorder="1" applyAlignment="1">
      <alignment horizontal="center"/>
    </xf>
    <xf numFmtId="166" fontId="7" fillId="0" borderId="15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6" fontId="7" fillId="0" borderId="13" xfId="0" applyNumberFormat="1" applyFont="1" applyBorder="1" applyAlignment="1">
      <alignment horizontal="center" wrapText="1"/>
    </xf>
    <xf numFmtId="166" fontId="7" fillId="0" borderId="14" xfId="0" applyNumberFormat="1" applyFont="1" applyBorder="1" applyAlignment="1">
      <alignment horizontal="center" wrapText="1"/>
    </xf>
    <xf numFmtId="166" fontId="7" fillId="0" borderId="15" xfId="0" applyNumberFormat="1" applyFont="1" applyBorder="1" applyAlignment="1">
      <alignment horizontal="center" wrapText="1"/>
    </xf>
    <xf numFmtId="166" fontId="7" fillId="0" borderId="16" xfId="0" applyNumberFormat="1" applyFont="1" applyBorder="1" applyAlignment="1">
      <alignment horizontal="center" wrapText="1"/>
    </xf>
    <xf numFmtId="166" fontId="7" fillId="0" borderId="14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89"/>
          <c:h val="0.9675"/>
        </c:manualLayout>
      </c:layout>
      <c:scatterChart>
        <c:scatterStyle val="lineMarker"/>
        <c:varyColors val="0"/>
        <c:ser>
          <c:idx val="0"/>
          <c:order val="0"/>
          <c:tx>
            <c:v>Confidence region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Data!$M$17:$M$29</c:f>
              <c:numCache>
                <c:ptCount val="13"/>
                <c:pt idx="0">
                  <c:v>0.43117486381882203</c:v>
                </c:pt>
                <c:pt idx="1">
                  <c:v>0.44117486381882204</c:v>
                </c:pt>
                <c:pt idx="2">
                  <c:v>0.45117486381882205</c:v>
                </c:pt>
                <c:pt idx="3">
                  <c:v>0.46117486381882206</c:v>
                </c:pt>
                <c:pt idx="4">
                  <c:v>0.471174863818822</c:v>
                </c:pt>
                <c:pt idx="5">
                  <c:v>0.481174863818822</c:v>
                </c:pt>
                <c:pt idx="6">
                  <c:v>0.491174863818822</c:v>
                </c:pt>
                <c:pt idx="7">
                  <c:v>0.501174863818822</c:v>
                </c:pt>
                <c:pt idx="8">
                  <c:v>0.511174863818822</c:v>
                </c:pt>
                <c:pt idx="9">
                  <c:v>0.521174863818822</c:v>
                </c:pt>
                <c:pt idx="10">
                  <c:v>0.5311748638188221</c:v>
                </c:pt>
                <c:pt idx="11">
                  <c:v>0.5411748638188221</c:v>
                </c:pt>
                <c:pt idx="12">
                  <c:v>0.5511748638188221</c:v>
                </c:pt>
              </c:numCache>
            </c:numRef>
          </c:xVal>
          <c:yVal>
            <c:numRef>
              <c:f>Data!$N$17:$N$29</c:f>
              <c:numCache>
                <c:ptCount val="13"/>
                <c:pt idx="0">
                  <c:v>1.1360241793394983</c:v>
                </c:pt>
                <c:pt idx="1">
                  <c:v>1.1481438178242316</c:v>
                </c:pt>
                <c:pt idx="2">
                  <c:v>1.135237528474914</c:v>
                </c:pt>
                <c:pt idx="3">
                  <c:v>1.1166617633571674</c:v>
                </c:pt>
                <c:pt idx="4">
                  <c:v>1.09461960839834</c:v>
                </c:pt>
                <c:pt idx="5">
                  <c:v>1.069923124927442</c:v>
                </c:pt>
                <c:pt idx="6">
                  <c:v>1.0429163230804432</c:v>
                </c:pt>
                <c:pt idx="7">
                  <c:v>1.0136973639003155</c:v>
                </c:pt>
                <c:pt idx="8">
                  <c:v>0.9821680863440868</c:v>
                </c:pt>
                <c:pt idx="9">
                  <c:v>0.9479844802757877</c:v>
                </c:pt>
                <c:pt idx="10">
                  <c:v>0.9103344843664077</c:v>
                </c:pt>
                <c:pt idx="11">
                  <c:v>0.8670150126885987</c:v>
                </c:pt>
                <c:pt idx="12">
                  <c:v>0.7986696131767393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Data!$M$17:$M$29</c:f>
              <c:numCache>
                <c:ptCount val="13"/>
                <c:pt idx="0">
                  <c:v>0.43117486381882203</c:v>
                </c:pt>
                <c:pt idx="1">
                  <c:v>0.44117486381882204</c:v>
                </c:pt>
                <c:pt idx="2">
                  <c:v>0.45117486381882205</c:v>
                </c:pt>
                <c:pt idx="3">
                  <c:v>0.46117486381882206</c:v>
                </c:pt>
                <c:pt idx="4">
                  <c:v>0.471174863818822</c:v>
                </c:pt>
                <c:pt idx="5">
                  <c:v>0.481174863818822</c:v>
                </c:pt>
                <c:pt idx="6">
                  <c:v>0.491174863818822</c:v>
                </c:pt>
                <c:pt idx="7">
                  <c:v>0.501174863818822</c:v>
                </c:pt>
                <c:pt idx="8">
                  <c:v>0.511174863818822</c:v>
                </c:pt>
                <c:pt idx="9">
                  <c:v>0.521174863818822</c:v>
                </c:pt>
                <c:pt idx="10">
                  <c:v>0.5311748638188221</c:v>
                </c:pt>
                <c:pt idx="11">
                  <c:v>0.5411748638188221</c:v>
                </c:pt>
                <c:pt idx="12">
                  <c:v>0.5511748638188221</c:v>
                </c:pt>
              </c:numCache>
            </c:numRef>
          </c:xVal>
          <c:yVal>
            <c:numRef>
              <c:f>Data!$O$17:$O$29</c:f>
              <c:numCache>
                <c:ptCount val="13"/>
                <c:pt idx="0">
                  <c:v>1.1286567049849816</c:v>
                </c:pt>
                <c:pt idx="1">
                  <c:v>1.0603113054731217</c:v>
                </c:pt>
                <c:pt idx="2">
                  <c:v>1.0169918337953125</c:v>
                </c:pt>
                <c:pt idx="3">
                  <c:v>0.9793418378859327</c:v>
                </c:pt>
                <c:pt idx="4">
                  <c:v>0.9451582318176335</c:v>
                </c:pt>
                <c:pt idx="5">
                  <c:v>0.913628954261405</c:v>
                </c:pt>
                <c:pt idx="6">
                  <c:v>0.8844099950812773</c:v>
                </c:pt>
                <c:pt idx="7">
                  <c:v>0.8574031932342784</c:v>
                </c:pt>
                <c:pt idx="8">
                  <c:v>0.8327067097633803</c:v>
                </c:pt>
                <c:pt idx="9">
                  <c:v>0.8106645548045529</c:v>
                </c:pt>
                <c:pt idx="10">
                  <c:v>0.7920887896868063</c:v>
                </c:pt>
                <c:pt idx="11">
                  <c:v>0.7791825003374887</c:v>
                </c:pt>
                <c:pt idx="12">
                  <c:v>0.7913021388222214</c:v>
                </c:pt>
              </c:numCache>
            </c:numRef>
          </c:yVal>
          <c:smooth val="1"/>
        </c:ser>
        <c:ser>
          <c:idx val="2"/>
          <c:order val="2"/>
          <c:tx>
            <c:v>True mean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Data!$I$6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Data!$I$7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Individual CI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Data!$P$2:$P$6</c:f>
              <c:numCache>
                <c:ptCount val="5"/>
                <c:pt idx="0">
                  <c:v>0.44590609023729383</c:v>
                </c:pt>
                <c:pt idx="1">
                  <c:v>0.44590609023729383</c:v>
                </c:pt>
                <c:pt idx="2">
                  <c:v>0.5364436374003502</c:v>
                </c:pt>
                <c:pt idx="3">
                  <c:v>0.5364436374003502</c:v>
                </c:pt>
                <c:pt idx="4">
                  <c:v>0.44590609023729383</c:v>
                </c:pt>
              </c:numCache>
            </c:numRef>
          </c:xVal>
          <c:yVal>
            <c:numRef>
              <c:f>Data!$Q$2:$Q$6</c:f>
              <c:numCache>
                <c:ptCount val="5"/>
                <c:pt idx="0">
                  <c:v>0.8230796647043261</c:v>
                </c:pt>
                <c:pt idx="1">
                  <c:v>1.1042466534573943</c:v>
                </c:pt>
                <c:pt idx="2">
                  <c:v>1.1042466534573943</c:v>
                </c:pt>
                <c:pt idx="3">
                  <c:v>0.8230796647043261</c:v>
                </c:pt>
                <c:pt idx="4">
                  <c:v>0.8230796647043261</c:v>
                </c:pt>
              </c:numCache>
            </c:numRef>
          </c:yVal>
          <c:smooth val="0"/>
        </c:ser>
        <c:ser>
          <c:idx val="4"/>
          <c:order val="4"/>
          <c:tx>
            <c:v>Simultaneous CI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Data!$P$9:$P$13</c:f>
              <c:numCache>
                <c:ptCount val="5"/>
                <c:pt idx="0">
                  <c:v>0.43723379308140065</c:v>
                </c:pt>
                <c:pt idx="1">
                  <c:v>0.43723379308140065</c:v>
                </c:pt>
                <c:pt idx="2">
                  <c:v>0.5451159345562434</c:v>
                </c:pt>
                <c:pt idx="3">
                  <c:v>0.5451159345562434</c:v>
                </c:pt>
                <c:pt idx="4">
                  <c:v>0.43723379308140065</c:v>
                </c:pt>
              </c:numCache>
            </c:numRef>
          </c:xVal>
          <c:yVal>
            <c:numRef>
              <c:f>Data!$Q$9:$Q$13</c:f>
              <c:numCache>
                <c:ptCount val="5"/>
                <c:pt idx="0">
                  <c:v>0.7961475933891752</c:v>
                </c:pt>
                <c:pt idx="1">
                  <c:v>1.131178724772545</c:v>
                </c:pt>
                <c:pt idx="2">
                  <c:v>1.131178724772545</c:v>
                </c:pt>
                <c:pt idx="3">
                  <c:v>0.7961475933891752</c:v>
                </c:pt>
                <c:pt idx="4">
                  <c:v>0.7961475933891752</c:v>
                </c:pt>
              </c:numCache>
            </c:numRef>
          </c:yVal>
          <c:smooth val="0"/>
        </c:ser>
        <c:axId val="5934773"/>
        <c:axId val="53412958"/>
      </c:scatterChart>
      <c:valAx>
        <c:axId val="5934773"/>
        <c:scaling>
          <c:orientation val="minMax"/>
          <c:max val="1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crossAx val="53412958"/>
        <c:crosses val="autoZero"/>
        <c:crossBetween val="midCat"/>
        <c:dispUnits/>
      </c:valAx>
      <c:valAx>
        <c:axId val="53412958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crossAx val="59347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7"/>
          <c:y val="0.06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0.1165</cdr:x>
      <cdr:y>0.75375</cdr:y>
    </cdr:from>
    <cdr:to>
      <cdr:x>0.4565</cdr:x>
      <cdr:y>0.81575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4467225"/>
          <a:ext cx="2952750" cy="371475"/>
        </a:xfrm>
        <a:prstGeom prst="rect">
          <a:avLst/>
        </a:prstGeom>
        <a:solidFill>
          <a:srgbClr val="FFFF00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Press "F9" to recalculate!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7" sqref="B27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5" ht="12.75">
      <c r="A5" t="s">
        <v>36</v>
      </c>
    </row>
    <row r="6" ht="12.75">
      <c r="A6" t="s">
        <v>37</v>
      </c>
    </row>
    <row r="7" ht="12.75">
      <c r="B7" t="s">
        <v>38</v>
      </c>
    </row>
    <row r="8" ht="12.75">
      <c r="B8" t="s">
        <v>39</v>
      </c>
    </row>
    <row r="9" ht="12.75">
      <c r="B9" t="s">
        <v>40</v>
      </c>
    </row>
    <row r="11" ht="12.75">
      <c r="A11" t="s">
        <v>44</v>
      </c>
    </row>
    <row r="16" spans="2:4" ht="14.25">
      <c r="B16" t="s">
        <v>41</v>
      </c>
      <c r="D16" s="58" t="s">
        <v>42</v>
      </c>
    </row>
    <row r="17" ht="12.75">
      <c r="B17" t="s">
        <v>43</v>
      </c>
    </row>
    <row r="19" ht="12.75">
      <c r="A19" t="s">
        <v>45</v>
      </c>
    </row>
    <row r="20" ht="12.75">
      <c r="B20" t="s">
        <v>46</v>
      </c>
    </row>
    <row r="22" ht="12.75">
      <c r="A22" t="s">
        <v>47</v>
      </c>
    </row>
    <row r="23" ht="14.25">
      <c r="B23" t="s">
        <v>49</v>
      </c>
    </row>
    <row r="24" ht="12.75">
      <c r="B24" t="s">
        <v>48</v>
      </c>
    </row>
    <row r="25" ht="12.75">
      <c r="B25" t="s">
        <v>50</v>
      </c>
    </row>
    <row r="26" ht="12.75">
      <c r="B26" t="s">
        <v>51</v>
      </c>
    </row>
    <row r="27" ht="12.75">
      <c r="B27" s="59" t="s">
        <v>52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1859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showGridLines="0" tabSelected="1" workbookViewId="0" topLeftCell="A1">
      <selection activeCell="K13" sqref="K13"/>
    </sheetView>
  </sheetViews>
  <sheetFormatPr defaultColWidth="9.140625" defaultRowHeight="12.75"/>
  <cols>
    <col min="1" max="3" width="6.57421875" style="0" bestFit="1" customWidth="1"/>
    <col min="4" max="4" width="7.140625" style="0" bestFit="1" customWidth="1"/>
    <col min="5" max="5" width="7.57421875" style="0" bestFit="1" customWidth="1"/>
    <col min="7" max="7" width="12.421875" style="0" bestFit="1" customWidth="1"/>
    <col min="8" max="9" width="12.7109375" style="0" bestFit="1" customWidth="1"/>
    <col min="10" max="10" width="7.140625" style="0" bestFit="1" customWidth="1"/>
    <col min="11" max="12" width="7.57421875" style="0" bestFit="1" customWidth="1"/>
    <col min="13" max="15" width="6.57421875" style="0" bestFit="1" customWidth="1"/>
    <col min="17" max="17" width="11.00390625" style="0" bestFit="1" customWidth="1"/>
    <col min="18" max="18" width="5.57421875" style="0" bestFit="1" customWidth="1"/>
    <col min="19" max="19" width="6.57421875" style="0" bestFit="1" customWidth="1"/>
  </cols>
  <sheetData>
    <row r="1" spans="1:17" ht="13.5" thickBot="1">
      <c r="A1" s="11" t="s">
        <v>0</v>
      </c>
      <c r="B1" s="12" t="s">
        <v>1</v>
      </c>
      <c r="C1" s="12" t="s">
        <v>32</v>
      </c>
      <c r="D1" s="12" t="s">
        <v>4</v>
      </c>
      <c r="E1" s="13" t="s">
        <v>5</v>
      </c>
      <c r="F1" s="1"/>
      <c r="G1" s="50" t="s">
        <v>26</v>
      </c>
      <c r="H1" s="41">
        <v>0</v>
      </c>
      <c r="I1" s="1"/>
      <c r="J1" s="1"/>
      <c r="K1" s="1"/>
      <c r="L1" s="1"/>
      <c r="M1" s="1"/>
      <c r="P1" s="62" t="s">
        <v>19</v>
      </c>
      <c r="Q1" s="62"/>
    </row>
    <row r="2" spans="1:17" ht="12.75">
      <c r="A2" s="2">
        <f aca="true" ca="1" t="shared" si="0" ref="A2:A33">RAND()</f>
        <v>0.8863781013721201</v>
      </c>
      <c r="B2" s="3">
        <f aca="true" ca="1" t="shared" si="1" ref="B2:B33">IF(ind=1,-LN(RAND()),-LN(A2))</f>
        <v>0.12061166842502534</v>
      </c>
      <c r="C2" s="3">
        <f aca="true" t="shared" si="2" ref="C2:C33">(A2-Ubar)^2</f>
        <v>0.14683062124656288</v>
      </c>
      <c r="D2" s="3">
        <f aca="true" t="shared" si="3" ref="D2:D33">(A2-Ubar)*(B2-Ebar)</f>
        <v>-0.31369588190290776</v>
      </c>
      <c r="E2" s="4">
        <f aca="true" t="shared" si="4" ref="E2:E33">(B2-Ebar)^2</f>
        <v>0.6701947147495747</v>
      </c>
      <c r="F2" s="6"/>
      <c r="G2" s="50" t="s">
        <v>23</v>
      </c>
      <c r="H2" s="42">
        <v>0.1</v>
      </c>
      <c r="I2" s="1"/>
      <c r="J2" s="1"/>
      <c r="K2" s="1"/>
      <c r="L2" s="1"/>
      <c r="M2" s="1"/>
      <c r="P2" s="14">
        <f>J6</f>
        <v>0.4559502476229519</v>
      </c>
      <c r="Q2" s="14">
        <f>J7</f>
        <v>0.7999492518974123</v>
      </c>
    </row>
    <row r="3" spans="1:17" ht="12.75">
      <c r="A3" s="5">
        <f ca="1" t="shared" si="0"/>
        <v>0.7031733035677581</v>
      </c>
      <c r="B3" s="6">
        <f ca="1" t="shared" si="1"/>
        <v>0.35215189754150145</v>
      </c>
      <c r="C3" s="6">
        <f t="shared" si="2"/>
        <v>0.03999201708907379</v>
      </c>
      <c r="D3" s="6">
        <f t="shared" si="3"/>
        <v>-0.11741107829765378</v>
      </c>
      <c r="E3" s="7">
        <f t="shared" si="4"/>
        <v>0.3447028259743388</v>
      </c>
      <c r="F3" s="6"/>
      <c r="G3" s="52" t="s">
        <v>8</v>
      </c>
      <c r="H3" s="43">
        <f>COUNT(A2:A65536)</f>
        <v>100</v>
      </c>
      <c r="I3" s="1"/>
      <c r="J3" s="1"/>
      <c r="K3" s="1"/>
      <c r="L3" s="1"/>
      <c r="M3" s="1"/>
      <c r="P3" s="14">
        <f>J6</f>
        <v>0.4559502476229519</v>
      </c>
      <c r="Q3" s="14">
        <f>K7</f>
        <v>1.078582503974021</v>
      </c>
    </row>
    <row r="4" spans="1:17" ht="12.75">
      <c r="A4" s="5">
        <f ca="1" t="shared" si="0"/>
        <v>0.26844576795877906</v>
      </c>
      <c r="B4" s="6">
        <f ca="1" t="shared" si="1"/>
        <v>1.3151063669657834</v>
      </c>
      <c r="C4" s="6">
        <f t="shared" si="2"/>
        <v>0.055106385883938895</v>
      </c>
      <c r="D4" s="6">
        <f t="shared" si="3"/>
        <v>-0.08822761289924094</v>
      </c>
      <c r="E4" s="7">
        <f t="shared" si="4"/>
        <v>0.1412560731943598</v>
      </c>
      <c r="F4" s="6"/>
      <c r="G4" s="1"/>
      <c r="H4" s="60" t="s">
        <v>21</v>
      </c>
      <c r="I4" s="67" t="s">
        <v>29</v>
      </c>
      <c r="J4" s="63" t="s">
        <v>28</v>
      </c>
      <c r="K4" s="64"/>
      <c r="L4" s="63" t="s">
        <v>30</v>
      </c>
      <c r="M4" s="64"/>
      <c r="P4" s="14">
        <f>K6</f>
        <v>0.5504362760588587</v>
      </c>
      <c r="Q4" s="14">
        <f>K7</f>
        <v>1.078582503974021</v>
      </c>
    </row>
    <row r="5" spans="1:17" ht="12.75">
      <c r="A5" s="5">
        <f ca="1" t="shared" si="0"/>
        <v>0.79155326859111</v>
      </c>
      <c r="B5" s="6">
        <f ca="1" t="shared" si="1"/>
        <v>0.23375810111567447</v>
      </c>
      <c r="C5" s="6">
        <f t="shared" si="2"/>
        <v>0.08315149349297808</v>
      </c>
      <c r="D5" s="6">
        <f t="shared" si="3"/>
        <v>-0.20344022728614924</v>
      </c>
      <c r="E5" s="7">
        <f t="shared" si="4"/>
        <v>0.49774122315355845</v>
      </c>
      <c r="F5" s="6"/>
      <c r="G5" s="1"/>
      <c r="H5" s="61"/>
      <c r="I5" s="68"/>
      <c r="J5" s="65"/>
      <c r="K5" s="66"/>
      <c r="L5" s="65"/>
      <c r="M5" s="66"/>
      <c r="P5" s="14">
        <f>K6</f>
        <v>0.5504362760588587</v>
      </c>
      <c r="Q5" s="14">
        <f>J7</f>
        <v>0.7999492518974123</v>
      </c>
    </row>
    <row r="6" spans="1:17" ht="13.5" thickBot="1">
      <c r="A6" s="5">
        <f ca="1" t="shared" si="0"/>
        <v>0.31097690465065764</v>
      </c>
      <c r="B6" s="6">
        <f ca="1" t="shared" si="1"/>
        <v>1.1680366311338781</v>
      </c>
      <c r="C6" s="6">
        <f t="shared" si="2"/>
        <v>0.03694712797148887</v>
      </c>
      <c r="D6" s="6">
        <f t="shared" si="3"/>
        <v>-0.04397348081141981</v>
      </c>
      <c r="E6" s="7">
        <f t="shared" si="4"/>
        <v>0.05233605751885414</v>
      </c>
      <c r="F6" s="6"/>
      <c r="G6" s="53" t="s">
        <v>2</v>
      </c>
      <c r="H6" s="28">
        <f>AVERAGE(A2:A64998)</f>
        <v>0.5031932618409053</v>
      </c>
      <c r="I6" s="29">
        <v>0.5</v>
      </c>
      <c r="J6" s="32">
        <f>Ubar-z*SQRT(H10/n)</f>
        <v>0.4559502476229519</v>
      </c>
      <c r="K6" s="33">
        <f>Ubar+z*SQRT(H10/n)</f>
        <v>0.5504362760588587</v>
      </c>
      <c r="L6" s="36">
        <f>Ubar-z_B*SQRT(H10/n)</f>
        <v>0.4468997382889558</v>
      </c>
      <c r="M6" s="37">
        <f>Ubar+z_B*SQRT(H10/n)</f>
        <v>0.5594867853928548</v>
      </c>
      <c r="P6" s="15">
        <f>J6</f>
        <v>0.4559502476229519</v>
      </c>
      <c r="Q6" s="15">
        <f>J7</f>
        <v>0.7999492518974123</v>
      </c>
    </row>
    <row r="7" spans="1:13" ht="13.5" thickBot="1">
      <c r="A7" s="5">
        <f ca="1" t="shared" si="0"/>
        <v>0.7020675671372969</v>
      </c>
      <c r="B7" s="6">
        <f ca="1" t="shared" si="1"/>
        <v>0.35372563010468133</v>
      </c>
      <c r="C7" s="6">
        <f t="shared" si="2"/>
        <v>0.03955098930712238</v>
      </c>
      <c r="D7" s="6">
        <f t="shared" si="3"/>
        <v>-0.1164489100104741</v>
      </c>
      <c r="E7" s="7">
        <f t="shared" si="4"/>
        <v>0.3428573818300301</v>
      </c>
      <c r="F7" s="6"/>
      <c r="G7" s="54" t="s">
        <v>3</v>
      </c>
      <c r="H7" s="30">
        <f>AVERAGE(B2:B64998)</f>
        <v>0.9392658779357166</v>
      </c>
      <c r="I7" s="31">
        <v>1</v>
      </c>
      <c r="J7" s="34">
        <f>Ebar-z*SQRT(I11/n)</f>
        <v>0.7999492518974123</v>
      </c>
      <c r="K7" s="35">
        <f>Ebar+z*SQRT(I11/n)</f>
        <v>1.078582503974021</v>
      </c>
      <c r="L7" s="38">
        <f>Ebar-z_B*SQRT(I11/n)</f>
        <v>0.7732598789771434</v>
      </c>
      <c r="M7" s="39">
        <f>Ebar+z_B*SQRT(I11/n)</f>
        <v>1.1052718768942897</v>
      </c>
    </row>
    <row r="8" spans="1:17" ht="12.75">
      <c r="A8" s="5">
        <f ca="1" t="shared" si="0"/>
        <v>0.6785638679956563</v>
      </c>
      <c r="B8" s="6">
        <f ca="1" t="shared" si="1"/>
        <v>0.38777667297197305</v>
      </c>
      <c r="C8" s="6">
        <f t="shared" si="2"/>
        <v>0.03075484950308478</v>
      </c>
      <c r="D8" s="6">
        <f t="shared" si="3"/>
        <v>-0.0967149961622934</v>
      </c>
      <c r="E8" s="7">
        <f t="shared" si="4"/>
        <v>0.30414034319154193</v>
      </c>
      <c r="F8" s="6"/>
      <c r="G8" s="50" t="s">
        <v>27</v>
      </c>
      <c r="H8" s="25">
        <f>I10/SQRT(H10*I11)</f>
        <v>-0.9049608105609814</v>
      </c>
      <c r="I8" s="26">
        <f>IF(ind=1,0,-SQRT(3)/2)</f>
        <v>-0.8660254037844386</v>
      </c>
      <c r="J8" s="52" t="s">
        <v>24</v>
      </c>
      <c r="K8" s="40">
        <f>-NORMINV(H2/2,0,1)</f>
        <v>1.6448536269514742</v>
      </c>
      <c r="L8" s="50" t="s">
        <v>25</v>
      </c>
      <c r="M8" s="27">
        <f>-NORMINV(H2/2/2,0,1)</f>
        <v>1.9599639845400545</v>
      </c>
      <c r="P8" s="62" t="s">
        <v>20</v>
      </c>
      <c r="Q8" s="62"/>
    </row>
    <row r="9" spans="1:17" ht="12.75">
      <c r="A9" s="5">
        <f ca="1" t="shared" si="0"/>
        <v>0.5558877098720769</v>
      </c>
      <c r="B9" s="6">
        <f ca="1" t="shared" si="1"/>
        <v>0.5871889657900876</v>
      </c>
      <c r="C9" s="6">
        <f t="shared" si="2"/>
        <v>0.0027767048533098473</v>
      </c>
      <c r="D9" s="6">
        <f t="shared" si="3"/>
        <v>-0.018552498550033224</v>
      </c>
      <c r="E9" s="7">
        <f t="shared" si="4"/>
        <v>0.12395815206600094</v>
      </c>
      <c r="F9" s="6"/>
      <c r="G9" s="1"/>
      <c r="H9" s="1"/>
      <c r="I9" s="1"/>
      <c r="J9" s="1"/>
      <c r="K9" s="1"/>
      <c r="L9" s="1"/>
      <c r="M9" s="1"/>
      <c r="P9" s="14">
        <f>L6</f>
        <v>0.4468997382889558</v>
      </c>
      <c r="Q9" s="14">
        <f>L7</f>
        <v>0.7732598789771434</v>
      </c>
    </row>
    <row r="10" spans="1:17" ht="14.25">
      <c r="A10" s="5">
        <f ca="1" t="shared" si="0"/>
        <v>0.9215330181584156</v>
      </c>
      <c r="B10" s="6">
        <f ca="1" t="shared" si="1"/>
        <v>0.08171667163146164</v>
      </c>
      <c r="C10" s="6">
        <f t="shared" si="2"/>
        <v>0.1750081517157939</v>
      </c>
      <c r="D10" s="6">
        <f t="shared" si="3"/>
        <v>-0.3587469259955964</v>
      </c>
      <c r="E10" s="7">
        <f t="shared" si="4"/>
        <v>0.7353906412330575</v>
      </c>
      <c r="F10" s="6"/>
      <c r="G10" s="48" t="s">
        <v>6</v>
      </c>
      <c r="H10" s="17">
        <f>SUM(C2:C64998)/(n-1)</f>
        <v>0.08249368122398049</v>
      </c>
      <c r="I10" s="18">
        <f>SUM(D2:D64998)/(n-1)</f>
        <v>-0.220148538119605</v>
      </c>
      <c r="J10" s="51" t="s">
        <v>31</v>
      </c>
      <c r="K10" s="21">
        <f>I11/H12</f>
        <v>66.95616123759598</v>
      </c>
      <c r="L10" s="22">
        <f>-I10/H12</f>
        <v>20.54730982886709</v>
      </c>
      <c r="M10" s="16"/>
      <c r="P10" s="14">
        <f>L6</f>
        <v>0.4468997382889558</v>
      </c>
      <c r="Q10" s="14">
        <f>M7</f>
        <v>1.1052718768942897</v>
      </c>
    </row>
    <row r="11" spans="1:17" ht="12.75">
      <c r="A11" s="5">
        <f ca="1" t="shared" si="0"/>
        <v>0.6439292806212831</v>
      </c>
      <c r="B11" s="6">
        <f ca="1" t="shared" si="1"/>
        <v>0.44016637160751043</v>
      </c>
      <c r="C11" s="6">
        <f t="shared" si="2"/>
        <v>0.019806626982150848</v>
      </c>
      <c r="D11" s="6">
        <f t="shared" si="3"/>
        <v>-0.0702412774958837</v>
      </c>
      <c r="E11" s="7">
        <f t="shared" si="4"/>
        <v>0.2491003172170591</v>
      </c>
      <c r="F11" s="6"/>
      <c r="G11" s="19"/>
      <c r="H11" s="19">
        <f>I10</f>
        <v>-0.220148538119605</v>
      </c>
      <c r="I11" s="20">
        <f>SUM(E2:E64998)/(n-1)</f>
        <v>0.7173834987317192</v>
      </c>
      <c r="J11" s="23"/>
      <c r="K11" s="23">
        <f>-H11/H12</f>
        <v>20.54730982886709</v>
      </c>
      <c r="L11" s="24">
        <f>H10/H12</f>
        <v>7.699452567393519</v>
      </c>
      <c r="M11" s="16"/>
      <c r="P11" s="14">
        <f>M6</f>
        <v>0.5594867853928548</v>
      </c>
      <c r="Q11" s="14">
        <f>M7</f>
        <v>1.1052718768942897</v>
      </c>
    </row>
    <row r="12" spans="1:17" ht="12.75">
      <c r="A12" s="5">
        <f ca="1" t="shared" si="0"/>
        <v>0.3168704561426994</v>
      </c>
      <c r="B12" s="6">
        <f ca="1" t="shared" si="1"/>
        <v>1.1492622443286167</v>
      </c>
      <c r="C12" s="6">
        <f t="shared" si="2"/>
        <v>0.034716187923251395</v>
      </c>
      <c r="D12" s="6">
        <f t="shared" si="3"/>
        <v>-0.03912711217275358</v>
      </c>
      <c r="E12" s="7">
        <f t="shared" si="4"/>
        <v>0.044098473898221136</v>
      </c>
      <c r="F12" s="6"/>
      <c r="G12" s="49" t="s">
        <v>7</v>
      </c>
      <c r="H12" s="27">
        <f>H10*I11-I10*H11</f>
        <v>0.01071422682351908</v>
      </c>
      <c r="I12" s="1"/>
      <c r="J12" s="1"/>
      <c r="K12" s="1"/>
      <c r="L12" s="1"/>
      <c r="M12" s="1"/>
      <c r="P12" s="14">
        <f>M6</f>
        <v>0.5594867853928548</v>
      </c>
      <c r="Q12" s="14">
        <f>L7</f>
        <v>0.7732598789771434</v>
      </c>
    </row>
    <row r="13" spans="1:17" ht="13.5" thickBot="1">
      <c r="A13" s="5">
        <f ca="1" t="shared" si="0"/>
        <v>0.23287567208875615</v>
      </c>
      <c r="B13" s="6">
        <f ca="1" t="shared" si="1"/>
        <v>1.45725056401514</v>
      </c>
      <c r="C13" s="6">
        <f t="shared" si="2"/>
        <v>0.07307159932941121</v>
      </c>
      <c r="D13" s="6">
        <f t="shared" si="3"/>
        <v>-0.14002037186951335</v>
      </c>
      <c r="E13" s="7">
        <f t="shared" si="4"/>
        <v>0.26830813501279893</v>
      </c>
      <c r="F13" s="6"/>
      <c r="I13" s="1"/>
      <c r="L13" s="1"/>
      <c r="M13" s="1"/>
      <c r="N13" s="1"/>
      <c r="O13" s="1"/>
      <c r="P13" s="15">
        <f>L6</f>
        <v>0.4468997382889558</v>
      </c>
      <c r="Q13" s="15">
        <f>L7</f>
        <v>0.7732598789771434</v>
      </c>
    </row>
    <row r="14" spans="1:15" ht="12.75">
      <c r="A14" s="5">
        <f ca="1" t="shared" si="0"/>
        <v>0.9987644247600462</v>
      </c>
      <c r="B14" s="6">
        <f ca="1" t="shared" si="1"/>
        <v>0.0012363391923858706</v>
      </c>
      <c r="C14" s="6">
        <f t="shared" si="2"/>
        <v>0.24559077751702973</v>
      </c>
      <c r="D14" s="6">
        <f t="shared" si="3"/>
        <v>-0.46486038936753776</v>
      </c>
      <c r="E14" s="7">
        <f t="shared" si="4"/>
        <v>0.8798994155550258</v>
      </c>
      <c r="F14" s="6"/>
      <c r="G14" s="50" t="s">
        <v>9</v>
      </c>
      <c r="H14" s="27">
        <f>2*(n-1)/n/(n-2)</f>
        <v>0.02020408163265306</v>
      </c>
      <c r="I14" s="50" t="s">
        <v>22</v>
      </c>
      <c r="J14" s="27">
        <f>FINV(delta,2,n-2)</f>
        <v>2.357543573625076</v>
      </c>
      <c r="L14" s="1"/>
      <c r="M14" s="1"/>
      <c r="N14" s="1"/>
      <c r="O14" s="1"/>
    </row>
    <row r="15" spans="1:6" ht="13.5" thickBot="1">
      <c r="A15" s="5">
        <f ca="1" t="shared" si="0"/>
        <v>0.9352824817293719</v>
      </c>
      <c r="B15" s="6">
        <f ca="1" t="shared" si="1"/>
        <v>0.06690667582570073</v>
      </c>
      <c r="C15" s="6">
        <f t="shared" si="2"/>
        <v>0.18670109394382364</v>
      </c>
      <c r="D15" s="6">
        <f t="shared" si="3"/>
        <v>-0.3769370071022419</v>
      </c>
      <c r="E15" s="7">
        <f t="shared" si="4"/>
        <v>0.7610105775060234</v>
      </c>
      <c r="F15" s="1"/>
    </row>
    <row r="16" spans="1:15" ht="12.75">
      <c r="A16" s="5">
        <f ca="1" t="shared" si="0"/>
        <v>0.5105262566643569</v>
      </c>
      <c r="B16" s="6">
        <f ca="1" t="shared" si="1"/>
        <v>0.6723132094691944</v>
      </c>
      <c r="C16" s="6">
        <f t="shared" si="2"/>
        <v>5.377281308076828E-05</v>
      </c>
      <c r="D16" s="6">
        <f t="shared" si="3"/>
        <v>-0.0019575625359716043</v>
      </c>
      <c r="E16" s="7">
        <f t="shared" si="4"/>
        <v>0.07126372720139693</v>
      </c>
      <c r="F16" s="1"/>
      <c r="G16" s="46" t="s">
        <v>13</v>
      </c>
      <c r="H16" s="46" t="s">
        <v>10</v>
      </c>
      <c r="I16" s="46" t="s">
        <v>11</v>
      </c>
      <c r="J16" s="46" t="s">
        <v>12</v>
      </c>
      <c r="K16" s="46" t="s">
        <v>16</v>
      </c>
      <c r="L16" s="46" t="s">
        <v>17</v>
      </c>
      <c r="M16" s="46" t="s">
        <v>14</v>
      </c>
      <c r="N16" s="46" t="s">
        <v>15</v>
      </c>
      <c r="O16" s="46" t="s">
        <v>18</v>
      </c>
    </row>
    <row r="17" spans="1:15" ht="12.75">
      <c r="A17" s="5">
        <f ca="1" t="shared" si="0"/>
        <v>0.1134364658374738</v>
      </c>
      <c r="B17" s="6">
        <f ca="1" t="shared" si="1"/>
        <v>2.1765123711487764</v>
      </c>
      <c r="C17" s="6">
        <f t="shared" si="2"/>
        <v>0.1519103600308605</v>
      </c>
      <c r="D17" s="6">
        <f t="shared" si="3"/>
        <v>-0.4822252290612035</v>
      </c>
      <c r="E17" s="7">
        <f t="shared" si="4"/>
        <v>1.530778884968014</v>
      </c>
      <c r="F17" s="1"/>
      <c r="G17" s="55">
        <v>-0.06</v>
      </c>
      <c r="H17" s="47">
        <f aca="true" t="shared" si="5" ref="H17:H29">$L$11</f>
        <v>7.699452567393519</v>
      </c>
      <c r="I17" s="47">
        <f aca="true" t="shared" si="6" ref="I17:I29">2*$L$10*G17</f>
        <v>-2.4656771794640506</v>
      </c>
      <c r="J17" s="47">
        <f aca="true" t="shared" si="7" ref="J17:J29">$K$10*G17^2-$H$14*$J$14</f>
        <v>0.19341017764128784</v>
      </c>
      <c r="K17" s="47">
        <f>(-I17+SQRT(I17^2-4*H17*J17))/2/H17</f>
        <v>0.18289125907087087</v>
      </c>
      <c r="L17" s="47">
        <f>(-I17-SQRT(I17^2-4*H17*J17))/2/H17</f>
        <v>0.13734932399421212</v>
      </c>
      <c r="M17" s="47">
        <f aca="true" t="shared" si="8" ref="M17:M22">IF(ISERR(K17),M18,G17+Ubar)</f>
        <v>0.4431932618409053</v>
      </c>
      <c r="N17" s="47">
        <f aca="true" t="shared" si="9" ref="N17:N22">IF(ISERR(K17),N18,K17+Ebar)</f>
        <v>1.1221571370065875</v>
      </c>
      <c r="O17" s="47">
        <f>IF(ISERR(K17),O18,L17+Ebar)</f>
        <v>1.0766152019299287</v>
      </c>
    </row>
    <row r="18" spans="1:15" ht="12.75">
      <c r="A18" s="5">
        <f ca="1" t="shared" si="0"/>
        <v>0.2560125887815179</v>
      </c>
      <c r="B18" s="6">
        <f ca="1" t="shared" si="1"/>
        <v>1.3625286607838174</v>
      </c>
      <c r="C18" s="6">
        <f t="shared" si="2"/>
        <v>0.06109828513409177</v>
      </c>
      <c r="D18" s="6">
        <f t="shared" si="3"/>
        <v>-0.1046223795453829</v>
      </c>
      <c r="E18" s="7">
        <f t="shared" si="4"/>
        <v>0.17915138334431854</v>
      </c>
      <c r="F18" s="1"/>
      <c r="G18" s="56">
        <f>G17+0.01</f>
        <v>-0.049999999999999996</v>
      </c>
      <c r="H18" s="44">
        <f t="shared" si="5"/>
        <v>7.699452567393519</v>
      </c>
      <c r="I18" s="44">
        <f t="shared" si="6"/>
        <v>-2.0547309828867086</v>
      </c>
      <c r="J18" s="44">
        <f t="shared" si="7"/>
        <v>0.11975840027993226</v>
      </c>
      <c r="K18" s="44">
        <f>(-I18+SQRT(I18^2-4*H18*J18))/2/H18</f>
        <v>0.18087168813400398</v>
      </c>
      <c r="L18" s="44">
        <f>(-I18-SQRT(I18^2-4*H18*J18))/2/H18</f>
        <v>0.0859954644202318</v>
      </c>
      <c r="M18" s="44">
        <f t="shared" si="8"/>
        <v>0.4531932618409053</v>
      </c>
      <c r="N18" s="44">
        <f t="shared" si="9"/>
        <v>1.1201375660697206</v>
      </c>
      <c r="O18" s="44">
        <f aca="true" t="shared" si="10" ref="O18:O28">IF(ISERR(L18),$O$17,L18+Ebar)</f>
        <v>1.0252613423559485</v>
      </c>
    </row>
    <row r="19" spans="1:15" ht="12.75">
      <c r="A19" s="5">
        <f ca="1" t="shared" si="0"/>
        <v>0.25369284547310866</v>
      </c>
      <c r="B19" s="6">
        <f ca="1" t="shared" si="1"/>
        <v>1.3716310135112117</v>
      </c>
      <c r="C19" s="6">
        <f t="shared" si="2"/>
        <v>0.06225045776770388</v>
      </c>
      <c r="D19" s="6">
        <f t="shared" si="3"/>
        <v>-0.10787528134900488</v>
      </c>
      <c r="E19" s="7">
        <f t="shared" si="4"/>
        <v>0.18693961046121632</v>
      </c>
      <c r="F19" s="1"/>
      <c r="G19" s="56">
        <f aca="true" t="shared" si="11" ref="G19:G29">G18+0.01</f>
        <v>-0.039999999999999994</v>
      </c>
      <c r="H19" s="44">
        <f t="shared" si="5"/>
        <v>7.699452567393519</v>
      </c>
      <c r="I19" s="44">
        <f t="shared" si="6"/>
        <v>-1.6437847863093669</v>
      </c>
      <c r="J19" s="44">
        <f t="shared" si="7"/>
        <v>0.05949785516609587</v>
      </c>
      <c r="K19" s="44">
        <f>(-I19+SQRT(I19^2-4*H19*J19))/2/H19</f>
        <v>0.16730550012256457</v>
      </c>
      <c r="L19" s="44">
        <f>(-I19-SQRT(I19^2-4*H19*J19))/2/H19</f>
        <v>0.046188221920824064</v>
      </c>
      <c r="M19" s="44">
        <f t="shared" si="8"/>
        <v>0.4631932618409053</v>
      </c>
      <c r="N19" s="44">
        <f t="shared" si="9"/>
        <v>1.106571378058281</v>
      </c>
      <c r="O19" s="44">
        <f t="shared" si="10"/>
        <v>0.9854540998565406</v>
      </c>
    </row>
    <row r="20" spans="1:15" ht="12.75">
      <c r="A20" s="5">
        <f ca="1" t="shared" si="0"/>
        <v>0.8263886900661848</v>
      </c>
      <c r="B20" s="6">
        <f ca="1" t="shared" si="1"/>
        <v>0.19069004705667997</v>
      </c>
      <c r="C20" s="6">
        <f t="shared" si="2"/>
        <v>0.10445528482572178</v>
      </c>
      <c r="D20" s="6">
        <f t="shared" si="3"/>
        <v>-0.24193628622004465</v>
      </c>
      <c r="E20" s="7">
        <f t="shared" si="4"/>
        <v>0.5603657745762401</v>
      </c>
      <c r="F20" s="1"/>
      <c r="G20" s="56">
        <f t="shared" si="11"/>
        <v>-0.029999999999999992</v>
      </c>
      <c r="H20" s="44">
        <f t="shared" si="5"/>
        <v>7.699452567393519</v>
      </c>
      <c r="I20" s="44">
        <f t="shared" si="6"/>
        <v>-1.232838589732025</v>
      </c>
      <c r="J20" s="44">
        <f t="shared" si="7"/>
        <v>0.012628542299778694</v>
      </c>
      <c r="K20" s="44">
        <f>(-I20+SQRT(I20^2-4*H20*J20))/2/H20</f>
        <v>0.14912127739789605</v>
      </c>
      <c r="L20" s="44">
        <f>(-I20-SQRT(I20^2-4*H20*J20))/2/H20</f>
        <v>0.010999014134645414</v>
      </c>
      <c r="M20" s="44">
        <f t="shared" si="8"/>
        <v>0.4731932618409053</v>
      </c>
      <c r="N20" s="44">
        <f t="shared" si="9"/>
        <v>1.0883871553336126</v>
      </c>
      <c r="O20" s="44">
        <f t="shared" si="10"/>
        <v>0.950264892070362</v>
      </c>
    </row>
    <row r="21" spans="1:15" ht="12.75">
      <c r="A21" s="5">
        <f ca="1" t="shared" si="0"/>
        <v>0.5472570765946831</v>
      </c>
      <c r="B21" s="6">
        <f ca="1" t="shared" si="1"/>
        <v>0.6028366114710256</v>
      </c>
      <c r="C21" s="6">
        <f t="shared" si="2"/>
        <v>0.0019416197706552507</v>
      </c>
      <c r="D21" s="6">
        <f t="shared" si="3"/>
        <v>-0.01482435687524951</v>
      </c>
      <c r="E21" s="7">
        <f t="shared" si="4"/>
        <v>0.11318465133397003</v>
      </c>
      <c r="F21" s="1"/>
      <c r="G21" s="56">
        <f t="shared" si="11"/>
        <v>-0.01999999999999999</v>
      </c>
      <c r="H21" s="44">
        <f t="shared" si="5"/>
        <v>7.699452567393519</v>
      </c>
      <c r="I21" s="44">
        <f t="shared" si="6"/>
        <v>-0.8218923931546831</v>
      </c>
      <c r="J21" s="44">
        <f t="shared" si="7"/>
        <v>-0.02084953831901929</v>
      </c>
      <c r="K21" s="44">
        <f aca="true" t="shared" si="12" ref="K21:K26">(-I21+SQRT(I21^2-4*H21*J21))/2/H21</f>
        <v>0.1279163567615661</v>
      </c>
      <c r="L21" s="44">
        <f aca="true" t="shared" si="13" ref="L21:L26">(-I21-SQRT(I21^2-4*H21*J21))/2/H21</f>
        <v>-0.02116949573987183</v>
      </c>
      <c r="M21" s="44">
        <f t="shared" si="8"/>
        <v>0.4831932618409053</v>
      </c>
      <c r="N21" s="44">
        <f t="shared" si="9"/>
        <v>1.0671822346972828</v>
      </c>
      <c r="O21" s="44">
        <f t="shared" si="10"/>
        <v>0.9180963821958448</v>
      </c>
    </row>
    <row r="22" spans="1:15" ht="12.75">
      <c r="A22" s="5">
        <f ca="1" t="shared" si="0"/>
        <v>0.8204960321030739</v>
      </c>
      <c r="B22" s="6">
        <f ca="1" t="shared" si="1"/>
        <v>0.19784620441362516</v>
      </c>
      <c r="C22" s="6">
        <f t="shared" si="2"/>
        <v>0.10068104801604653</v>
      </c>
      <c r="D22" s="6">
        <f t="shared" si="3"/>
        <v>-0.23525451633543223</v>
      </c>
      <c r="E22" s="7">
        <f t="shared" si="4"/>
        <v>0.5497031322856047</v>
      </c>
      <c r="F22" s="1"/>
      <c r="G22" s="56">
        <f t="shared" si="11"/>
        <v>-0.00999999999999999</v>
      </c>
      <c r="H22" s="44">
        <f t="shared" si="5"/>
        <v>7.699452567393519</v>
      </c>
      <c r="I22" s="44">
        <f t="shared" si="6"/>
        <v>-0.4109461965773414</v>
      </c>
      <c r="J22" s="44">
        <f t="shared" si="7"/>
        <v>-0.04093638669029807</v>
      </c>
      <c r="K22" s="44">
        <f t="shared" si="12"/>
        <v>0.10433317444763526</v>
      </c>
      <c r="L22" s="44">
        <f t="shared" si="13"/>
        <v>-0.05095974393678815</v>
      </c>
      <c r="M22" s="44">
        <f t="shared" si="8"/>
        <v>0.4931932618409053</v>
      </c>
      <c r="N22" s="44">
        <f t="shared" si="9"/>
        <v>1.0435990523833518</v>
      </c>
      <c r="O22" s="44">
        <f t="shared" si="10"/>
        <v>0.8883061339989284</v>
      </c>
    </row>
    <row r="23" spans="1:15" ht="12.75">
      <c r="A23" s="5">
        <f ca="1" t="shared" si="0"/>
        <v>0.7407389642534872</v>
      </c>
      <c r="B23" s="6">
        <f ca="1" t="shared" si="1"/>
        <v>0.3001069907110062</v>
      </c>
      <c r="C23" s="6">
        <f t="shared" si="2"/>
        <v>0.05642796073468691</v>
      </c>
      <c r="D23" s="6">
        <f t="shared" si="3"/>
        <v>-0.15182944681903804</v>
      </c>
      <c r="E23" s="7">
        <f t="shared" si="4"/>
        <v>0.40852408311833005</v>
      </c>
      <c r="F23" s="1"/>
      <c r="G23" s="56">
        <f t="shared" si="11"/>
        <v>0</v>
      </c>
      <c r="H23" s="44">
        <f t="shared" si="5"/>
        <v>7.699452567393519</v>
      </c>
      <c r="I23" s="44">
        <f t="shared" si="6"/>
        <v>0</v>
      </c>
      <c r="J23" s="44">
        <f t="shared" si="7"/>
        <v>-0.047632002814057654</v>
      </c>
      <c r="K23" s="44">
        <f>(-I23+SQRT(I23^2-4*H23*J23))/2/H23</f>
        <v>0.0786537616102605</v>
      </c>
      <c r="L23" s="44">
        <f>(-I23-SQRT(I23^2-4*H23*J23))/2/H23</f>
        <v>-0.0786537616102605</v>
      </c>
      <c r="M23" s="44">
        <f>G23+Ubar</f>
        <v>0.5031932618409053</v>
      </c>
      <c r="N23" s="44">
        <f>IF(ISERR(K23),$N$17,K23+Ebar)</f>
        <v>1.017919639545977</v>
      </c>
      <c r="O23" s="44">
        <f t="shared" si="10"/>
        <v>0.8606121163254561</v>
      </c>
    </row>
    <row r="24" spans="1:15" ht="12.75">
      <c r="A24" s="5">
        <f ca="1" t="shared" si="0"/>
        <v>0.5017189101811665</v>
      </c>
      <c r="B24" s="6">
        <f ca="1" t="shared" si="1"/>
        <v>0.6897152559934401</v>
      </c>
      <c r="C24" s="6">
        <f t="shared" si="2"/>
        <v>2.173712816574402E-06</v>
      </c>
      <c r="D24" s="6">
        <f t="shared" si="3"/>
        <v>0.0003679253736494323</v>
      </c>
      <c r="E24" s="7">
        <f t="shared" si="4"/>
        <v>0.06227551291177702</v>
      </c>
      <c r="F24" s="1"/>
      <c r="G24" s="56">
        <f t="shared" si="11"/>
        <v>0.01</v>
      </c>
      <c r="H24" s="44">
        <f t="shared" si="5"/>
        <v>7.699452567393519</v>
      </c>
      <c r="I24" s="44">
        <f t="shared" si="6"/>
        <v>0.41094619657734177</v>
      </c>
      <c r="J24" s="44">
        <f t="shared" si="7"/>
        <v>-0.04093638669029806</v>
      </c>
      <c r="K24" s="44">
        <f>(-I24+SQRT(I24^2-4*H24*J24))/2/H24</f>
        <v>0.05095974393678812</v>
      </c>
      <c r="L24" s="44">
        <f>(-I24-SQRT(I24^2-4*H24*J24))/2/H24</f>
        <v>-0.10433317444763529</v>
      </c>
      <c r="M24" s="44">
        <f aca="true" t="shared" si="14" ref="M24:M29">IF(ISERR(K24),M23,G24+Ubar)</f>
        <v>0.5131932618409053</v>
      </c>
      <c r="N24" s="44">
        <f aca="true" t="shared" si="15" ref="N24:N29">IF(ISERR(K24),N23,K24+Ebar)</f>
        <v>0.9902256218725047</v>
      </c>
      <c r="O24" s="44">
        <f t="shared" si="10"/>
        <v>0.8349327034880814</v>
      </c>
    </row>
    <row r="25" spans="1:15" ht="12.75">
      <c r="A25" s="5">
        <f ca="1" t="shared" si="0"/>
        <v>0.5845955021621596</v>
      </c>
      <c r="B25" s="6">
        <f ca="1" t="shared" si="1"/>
        <v>0.5368351202070499</v>
      </c>
      <c r="C25" s="6">
        <f t="shared" si="2"/>
        <v>0.0066263247293192416</v>
      </c>
      <c r="D25" s="6">
        <f t="shared" si="3"/>
        <v>-0.032758765253293395</v>
      </c>
      <c r="E25" s="7">
        <f t="shared" si="4"/>
        <v>0.1619505147660688</v>
      </c>
      <c r="F25" s="1"/>
      <c r="G25" s="56">
        <f t="shared" si="11"/>
        <v>0.02</v>
      </c>
      <c r="H25" s="44">
        <f t="shared" si="5"/>
        <v>7.699452567393519</v>
      </c>
      <c r="I25" s="44">
        <f t="shared" si="6"/>
        <v>0.8218923931546835</v>
      </c>
      <c r="J25" s="44">
        <f t="shared" si="7"/>
        <v>-0.020849538319019263</v>
      </c>
      <c r="K25" s="44">
        <f t="shared" si="12"/>
        <v>0.0211694957398718</v>
      </c>
      <c r="L25" s="44">
        <f t="shared" si="13"/>
        <v>-0.12791635676156612</v>
      </c>
      <c r="M25" s="44">
        <f t="shared" si="14"/>
        <v>0.5231932618409053</v>
      </c>
      <c r="N25" s="44">
        <f t="shared" si="15"/>
        <v>0.9604353736755884</v>
      </c>
      <c r="O25" s="44">
        <f t="shared" si="10"/>
        <v>0.8113495211741505</v>
      </c>
    </row>
    <row r="26" spans="1:15" ht="12.75">
      <c r="A26" s="5">
        <f ca="1" t="shared" si="0"/>
        <v>0.7396640351819608</v>
      </c>
      <c r="B26" s="6">
        <f ca="1" t="shared" si="1"/>
        <v>0.30155920238694556</v>
      </c>
      <c r="C26" s="6">
        <f t="shared" si="2"/>
        <v>0.055918426644516836</v>
      </c>
      <c r="D26" s="6">
        <f t="shared" si="3"/>
        <v>-0.15079899073177144</v>
      </c>
      <c r="E26" s="7">
        <f t="shared" si="4"/>
        <v>0.4066698040394655</v>
      </c>
      <c r="F26" s="1"/>
      <c r="G26" s="56">
        <f t="shared" si="11"/>
        <v>0.03</v>
      </c>
      <c r="H26" s="44">
        <f t="shared" si="5"/>
        <v>7.699452567393519</v>
      </c>
      <c r="I26" s="44">
        <f t="shared" si="6"/>
        <v>1.2328385897320253</v>
      </c>
      <c r="J26" s="44">
        <f t="shared" si="7"/>
        <v>0.012628542299778722</v>
      </c>
      <c r="K26" s="44">
        <f t="shared" si="12"/>
        <v>-0.010999014134645442</v>
      </c>
      <c r="L26" s="44">
        <f t="shared" si="13"/>
        <v>-0.14912127739789605</v>
      </c>
      <c r="M26" s="44">
        <f t="shared" si="14"/>
        <v>0.5331932618409053</v>
      </c>
      <c r="N26" s="44">
        <f t="shared" si="15"/>
        <v>0.9282668638010712</v>
      </c>
      <c r="O26" s="44">
        <f t="shared" si="10"/>
        <v>0.7901446005378205</v>
      </c>
    </row>
    <row r="27" spans="1:15" ht="12.75">
      <c r="A27" s="5">
        <f ca="1" t="shared" si="0"/>
        <v>0.10629416302323591</v>
      </c>
      <c r="B27" s="6">
        <f ca="1" t="shared" si="1"/>
        <v>2.24154490555357</v>
      </c>
      <c r="C27" s="6">
        <f t="shared" si="2"/>
        <v>0.1575288946422781</v>
      </c>
      <c r="D27" s="6">
        <f t="shared" si="3"/>
        <v>-0.5168733724706769</v>
      </c>
      <c r="E27" s="7">
        <f t="shared" si="4"/>
        <v>1.6959306657733022</v>
      </c>
      <c r="F27" s="1"/>
      <c r="G27" s="56">
        <f t="shared" si="11"/>
        <v>0.04</v>
      </c>
      <c r="H27" s="44">
        <f t="shared" si="5"/>
        <v>7.699452567393519</v>
      </c>
      <c r="I27" s="44">
        <f t="shared" si="6"/>
        <v>1.643784786309367</v>
      </c>
      <c r="J27" s="44">
        <f t="shared" si="7"/>
        <v>0.05949785516609591</v>
      </c>
      <c r="K27" s="44">
        <f>(-I27+SQRT(I27^2-4*H27*J27))/2/H27</f>
        <v>-0.046188221920824106</v>
      </c>
      <c r="L27" s="44">
        <f>(-I27-SQRT(I27^2-4*H27*J27))/2/H27</f>
        <v>-0.16730550012256454</v>
      </c>
      <c r="M27" s="44">
        <f t="shared" si="14"/>
        <v>0.5431932618409053</v>
      </c>
      <c r="N27" s="44">
        <f t="shared" si="15"/>
        <v>0.8930776560148925</v>
      </c>
      <c r="O27" s="44">
        <f t="shared" si="10"/>
        <v>0.7719603778131521</v>
      </c>
    </row>
    <row r="28" spans="1:15" ht="12.75">
      <c r="A28" s="5">
        <f ca="1" t="shared" si="0"/>
        <v>0.1005781021251293</v>
      </c>
      <c r="B28" s="6">
        <f ca="1" t="shared" si="1"/>
        <v>2.296820717723074</v>
      </c>
      <c r="C28" s="6">
        <f t="shared" si="2"/>
        <v>0.16209896683295982</v>
      </c>
      <c r="D28" s="6">
        <f t="shared" si="3"/>
        <v>-0.5465721586439116</v>
      </c>
      <c r="E28" s="7">
        <f t="shared" si="4"/>
        <v>1.8429551430300781</v>
      </c>
      <c r="F28" s="1"/>
      <c r="G28" s="56">
        <f t="shared" si="11"/>
        <v>0.05</v>
      </c>
      <c r="H28" s="44">
        <f t="shared" si="5"/>
        <v>7.699452567393519</v>
      </c>
      <c r="I28" s="44">
        <f t="shared" si="6"/>
        <v>2.054730982886709</v>
      </c>
      <c r="J28" s="44">
        <f t="shared" si="7"/>
        <v>0.11975840027993231</v>
      </c>
      <c r="K28" s="44">
        <f>(-I28+SQRT(I28^2-4*H28*J28))/2/H28</f>
        <v>-0.08599546442023182</v>
      </c>
      <c r="L28" s="44">
        <f>(-I28-SQRT(I28^2-4*H28*J28))/2/H28</f>
        <v>-0.18087168813400403</v>
      </c>
      <c r="M28" s="44">
        <f t="shared" si="14"/>
        <v>0.5531932618409053</v>
      </c>
      <c r="N28" s="44">
        <f t="shared" si="15"/>
        <v>0.8532704135154847</v>
      </c>
      <c r="O28" s="44">
        <f t="shared" si="10"/>
        <v>0.7583941898017126</v>
      </c>
    </row>
    <row r="29" spans="1:15" ht="13.5" thickBot="1">
      <c r="A29" s="5">
        <f ca="1" t="shared" si="0"/>
        <v>0.10177549977209743</v>
      </c>
      <c r="B29" s="6">
        <f ca="1" t="shared" si="1"/>
        <v>2.2849858740465914</v>
      </c>
      <c r="C29" s="6">
        <f t="shared" si="2"/>
        <v>0.16113621970433004</v>
      </c>
      <c r="D29" s="6">
        <f t="shared" si="3"/>
        <v>-0.5401959092100722</v>
      </c>
      <c r="E29" s="7">
        <f t="shared" si="4"/>
        <v>1.810962307932653</v>
      </c>
      <c r="F29" s="1"/>
      <c r="G29" s="57">
        <f t="shared" si="11"/>
        <v>0.060000000000000005</v>
      </c>
      <c r="H29" s="45">
        <f t="shared" si="5"/>
        <v>7.699452567393519</v>
      </c>
      <c r="I29" s="45">
        <f t="shared" si="6"/>
        <v>2.465677179464051</v>
      </c>
      <c r="J29" s="45">
        <f t="shared" si="7"/>
        <v>0.1934101776412879</v>
      </c>
      <c r="K29" s="45">
        <f>(-I29+SQRT(I29^2-4*H29*J29))/2/H29</f>
        <v>-0.13734932399421207</v>
      </c>
      <c r="L29" s="45">
        <f>(-I29-SQRT(I29^2-4*H29*J29))/2/H29</f>
        <v>-0.18289125907087098</v>
      </c>
      <c r="M29" s="45">
        <f t="shared" si="14"/>
        <v>0.5631932618409053</v>
      </c>
      <c r="N29" s="45">
        <f t="shared" si="15"/>
        <v>0.8019165539415045</v>
      </c>
      <c r="O29" s="45">
        <f>IF(ISERR(K29),O28,L29+Ebar)</f>
        <v>0.7563746188648456</v>
      </c>
    </row>
    <row r="30" spans="1:15" ht="12.75">
      <c r="A30" s="5">
        <f ca="1" t="shared" si="0"/>
        <v>0.1771018412005576</v>
      </c>
      <c r="B30" s="6">
        <f ca="1" t="shared" si="1"/>
        <v>1.7310303378580203</v>
      </c>
      <c r="C30" s="6">
        <f t="shared" si="2"/>
        <v>0.10633561461524017</v>
      </c>
      <c r="D30" s="6">
        <f t="shared" si="3"/>
        <v>-0.25818759754860166</v>
      </c>
      <c r="E30" s="7">
        <f t="shared" si="4"/>
        <v>0.6268909599960573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5">
        <f ca="1" t="shared" si="0"/>
        <v>0.20331236612567594</v>
      </c>
      <c r="B31" s="6">
        <f ca="1" t="shared" si="1"/>
        <v>1.5930117332145644</v>
      </c>
      <c r="C31" s="6">
        <f t="shared" si="2"/>
        <v>0.08992855161496827</v>
      </c>
      <c r="D31" s="6">
        <f t="shared" si="3"/>
        <v>-0.19604589265113956</v>
      </c>
      <c r="E31" s="7">
        <f t="shared" si="4"/>
        <v>0.42738364329427214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5">
        <f ca="1" t="shared" si="0"/>
        <v>0.4240809720753509</v>
      </c>
      <c r="B32" s="6">
        <f ca="1" t="shared" si="1"/>
        <v>0.8578308701071591</v>
      </c>
      <c r="C32" s="6">
        <f t="shared" si="2"/>
        <v>0.006258754391949044</v>
      </c>
      <c r="D32" s="6">
        <f t="shared" si="3"/>
        <v>0.0064425099363930325</v>
      </c>
      <c r="E32" s="7">
        <f t="shared" si="4"/>
        <v>0.006631660500037222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5">
        <f ca="1" t="shared" si="0"/>
        <v>0.11606449945382558</v>
      </c>
      <c r="B33" s="6">
        <f ca="1" t="shared" si="1"/>
        <v>2.1536092126286905</v>
      </c>
      <c r="C33" s="6">
        <f t="shared" si="2"/>
        <v>0.14986867866735204</v>
      </c>
      <c r="D33" s="6">
        <f t="shared" si="3"/>
        <v>-0.47010723227269036</v>
      </c>
      <c r="E33" s="7">
        <f t="shared" si="4"/>
        <v>1.4746297345132522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5">
        <f aca="true" ca="1" t="shared" si="16" ref="A34:A65">RAND()</f>
        <v>0.6936126757663112</v>
      </c>
      <c r="B34" s="6">
        <f aca="true" ca="1" t="shared" si="17" ref="B34:B65">IF(ind=1,-LN(RAND()),-LN(A34))</f>
        <v>0.3658415783565117</v>
      </c>
      <c r="C34" s="6">
        <f aca="true" t="shared" si="18" ref="C34:C65">(A34-Ubar)^2</f>
        <v>0.03625955319969509</v>
      </c>
      <c r="D34" s="6">
        <f aca="true" t="shared" si="19" ref="D34:D65">(A34-Ubar)*(B34-Ebar)</f>
        <v>-0.10919111905645862</v>
      </c>
      <c r="E34" s="7">
        <f aca="true" t="shared" si="20" ref="E34:E65">(B34-Ebar)^2</f>
        <v>0.32881542734790176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5">
        <f ca="1" t="shared" si="16"/>
        <v>0.37700470688988474</v>
      </c>
      <c r="B35" s="6">
        <f ca="1" t="shared" si="17"/>
        <v>0.9754976064930071</v>
      </c>
      <c r="C35" s="6">
        <f t="shared" si="18"/>
        <v>0.015923551400626734</v>
      </c>
      <c r="D35" s="6">
        <f t="shared" si="19"/>
        <v>-0.004572029470022114</v>
      </c>
      <c r="E35" s="7">
        <f t="shared" si="20"/>
        <v>0.0013127381542491806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5">
        <f ca="1" t="shared" si="16"/>
        <v>0.26216626867838677</v>
      </c>
      <c r="B36" s="6">
        <f ca="1" t="shared" si="17"/>
        <v>1.3387763632266072</v>
      </c>
      <c r="C36" s="6">
        <f t="shared" si="18"/>
        <v>0.05809401143296475</v>
      </c>
      <c r="D36" s="6">
        <f t="shared" si="19"/>
        <v>-0.09629281100656195</v>
      </c>
      <c r="E36" s="7">
        <f t="shared" si="20"/>
        <v>0.15960862785736293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5">
        <f ca="1" t="shared" si="16"/>
        <v>0.84187145536053</v>
      </c>
      <c r="B37" s="6">
        <f ca="1" t="shared" si="17"/>
        <v>0.17212794223702724</v>
      </c>
      <c r="C37" s="6">
        <f t="shared" si="18"/>
        <v>0.11470291876571635</v>
      </c>
      <c r="D37" s="6">
        <f t="shared" si="19"/>
        <v>-0.2598128902428061</v>
      </c>
      <c r="E37" s="7">
        <f t="shared" si="20"/>
        <v>0.5885006123880465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5">
        <f ca="1" t="shared" si="16"/>
        <v>0.7792394017523456</v>
      </c>
      <c r="B38" s="6">
        <f ca="1" t="shared" si="17"/>
        <v>0.24943696100164747</v>
      </c>
      <c r="C38" s="6">
        <f t="shared" si="18"/>
        <v>0.07620147136000649</v>
      </c>
      <c r="D38" s="6">
        <f t="shared" si="19"/>
        <v>-0.1904246097189394</v>
      </c>
      <c r="E38" s="7">
        <f t="shared" si="20"/>
        <v>0.47586393463843085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5">
        <f ca="1" t="shared" si="16"/>
        <v>0.0588189351305024</v>
      </c>
      <c r="B39" s="6">
        <f ca="1" t="shared" si="17"/>
        <v>2.8332914498878563</v>
      </c>
      <c r="C39" s="6">
        <f t="shared" si="18"/>
        <v>0.1974685422393239</v>
      </c>
      <c r="D39" s="6">
        <f t="shared" si="19"/>
        <v>-0.8416563383085178</v>
      </c>
      <c r="E39" s="7">
        <f t="shared" si="20"/>
        <v>3.58733286720863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5">
        <f ca="1" t="shared" si="16"/>
        <v>0.16727036989209942</v>
      </c>
      <c r="B40" s="6">
        <f ca="1" t="shared" si="17"/>
        <v>1.7881437943131462</v>
      </c>
      <c r="C40" s="6">
        <f t="shared" si="18"/>
        <v>0.1128441893352491</v>
      </c>
      <c r="D40" s="6">
        <f t="shared" si="19"/>
        <v>-0.28515752458098276</v>
      </c>
      <c r="E40" s="7">
        <f t="shared" si="20"/>
        <v>0.7205937169132863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5">
        <f ca="1" t="shared" si="16"/>
        <v>0.3234740468181496</v>
      </c>
      <c r="B41" s="6">
        <f ca="1" t="shared" si="17"/>
        <v>1.128636394478489</v>
      </c>
      <c r="C41" s="6">
        <f t="shared" si="18"/>
        <v>0.03229899624839549</v>
      </c>
      <c r="D41" s="6">
        <f t="shared" si="19"/>
        <v>-0.034033520581520815</v>
      </c>
      <c r="E41" s="7">
        <f t="shared" si="20"/>
        <v>0.03586119253567643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5">
        <f ca="1" t="shared" si="16"/>
        <v>0.16532073058994662</v>
      </c>
      <c r="B42" s="6">
        <f ca="1" t="shared" si="17"/>
        <v>1.7998678701011732</v>
      </c>
      <c r="C42" s="6">
        <f t="shared" si="18"/>
        <v>0.11415784737393005</v>
      </c>
      <c r="D42" s="6">
        <f t="shared" si="19"/>
        <v>-0.29077377349256056</v>
      </c>
      <c r="E42" s="7">
        <f t="shared" si="20"/>
        <v>0.7406357889191527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5">
        <f ca="1" t="shared" si="16"/>
        <v>0.380611973403723</v>
      </c>
      <c r="B43" s="6">
        <f ca="1" t="shared" si="17"/>
        <v>0.9659748653303097</v>
      </c>
      <c r="C43" s="6">
        <f t="shared" si="18"/>
        <v>0.015026172274919683</v>
      </c>
      <c r="D43" s="6">
        <f t="shared" si="19"/>
        <v>-0.0032740220876816897</v>
      </c>
      <c r="E43" s="7">
        <f t="shared" si="20"/>
        <v>0.000713370007644536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5">
        <f ca="1" t="shared" si="16"/>
        <v>0.5149647134391542</v>
      </c>
      <c r="B44" s="6">
        <f ca="1" t="shared" si="17"/>
        <v>0.6636568982597139</v>
      </c>
      <c r="C44" s="6">
        <f t="shared" si="18"/>
        <v>0.0001385670727299162</v>
      </c>
      <c r="D44" s="6">
        <f t="shared" si="19"/>
        <v>-0.0032443177642988265</v>
      </c>
      <c r="E44" s="7">
        <f t="shared" si="20"/>
        <v>0.07596030967804729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5">
        <f ca="1" t="shared" si="16"/>
        <v>0.8295749764967444</v>
      </c>
      <c r="B45" s="6">
        <f ca="1" t="shared" si="17"/>
        <v>0.18684178585739247</v>
      </c>
      <c r="C45" s="6">
        <f t="shared" si="18"/>
        <v>0.10652502366168558</v>
      </c>
      <c r="D45" s="6">
        <f t="shared" si="19"/>
        <v>-0.24557746532088637</v>
      </c>
      <c r="E45" s="7">
        <f t="shared" si="20"/>
        <v>0.5661420143398903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5">
        <f ca="1" t="shared" si="16"/>
        <v>0.9059738342710246</v>
      </c>
      <c r="B46" s="6">
        <f ca="1" t="shared" si="17"/>
        <v>0.09874485385176507</v>
      </c>
      <c r="C46" s="6">
        <f t="shared" si="18"/>
        <v>0.1622321895271346</v>
      </c>
      <c r="D46" s="6">
        <f t="shared" si="19"/>
        <v>-0.3385455392200841</v>
      </c>
      <c r="E46" s="7">
        <f t="shared" si="20"/>
        <v>0.7064755919271347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5">
        <f ca="1" t="shared" si="16"/>
        <v>0.8537655619661695</v>
      </c>
      <c r="B47" s="6">
        <f ca="1" t="shared" si="17"/>
        <v>0.15809864048443895</v>
      </c>
      <c r="C47" s="6">
        <f t="shared" si="18"/>
        <v>0.1229009376151183</v>
      </c>
      <c r="D47" s="6">
        <f t="shared" si="19"/>
        <v>-0.27385559521579284</v>
      </c>
      <c r="E47" s="7">
        <f t="shared" si="20"/>
        <v>0.6102222528672608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5">
        <f ca="1" t="shared" si="16"/>
        <v>0.24646370327444256</v>
      </c>
      <c r="B48" s="6">
        <f ca="1" t="shared" si="17"/>
        <v>1.4005405447210426</v>
      </c>
      <c r="C48" s="6">
        <f t="shared" si="18"/>
        <v>0.06591006624173082</v>
      </c>
      <c r="D48" s="6">
        <f t="shared" si="19"/>
        <v>-0.11842284158168893</v>
      </c>
      <c r="E48" s="7">
        <f t="shared" si="20"/>
        <v>0.21277431821791357</v>
      </c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5">
        <f ca="1" t="shared" si="16"/>
        <v>0.10852995424190759</v>
      </c>
      <c r="B49" s="6">
        <f ca="1" t="shared" si="17"/>
        <v>2.220729068141297</v>
      </c>
      <c r="C49" s="6">
        <f t="shared" si="18"/>
        <v>0.15575912636498107</v>
      </c>
      <c r="D49" s="6">
        <f t="shared" si="19"/>
        <v>-0.5057465012128979</v>
      </c>
      <c r="E49" s="7">
        <f t="shared" si="20"/>
        <v>1.6421479078518635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5">
        <f ca="1" t="shared" si="16"/>
        <v>0.2828270384589402</v>
      </c>
      <c r="B50" s="6">
        <f ca="1" t="shared" si="17"/>
        <v>1.2629197397035263</v>
      </c>
      <c r="C50" s="6">
        <f t="shared" si="18"/>
        <v>0.04856127240763014</v>
      </c>
      <c r="D50" s="6">
        <f t="shared" si="19"/>
        <v>-0.07132237920076082</v>
      </c>
      <c r="E50" s="7">
        <f t="shared" si="20"/>
        <v>0.1047518222372165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5">
        <f ca="1" t="shared" si="16"/>
        <v>0.257340581661178</v>
      </c>
      <c r="B51" s="6">
        <f ca="1" t="shared" si="17"/>
        <v>1.3573548509450386</v>
      </c>
      <c r="C51" s="6">
        <f t="shared" si="18"/>
        <v>0.06044354035155527</v>
      </c>
      <c r="D51" s="6">
        <f t="shared" si="19"/>
        <v>-0.10278829456793148</v>
      </c>
      <c r="E51" s="7">
        <f t="shared" si="20"/>
        <v>0.1747983893519896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5">
        <f ca="1" t="shared" si="16"/>
        <v>0.7139813521391594</v>
      </c>
      <c r="B52" s="6">
        <f ca="1" t="shared" si="17"/>
        <v>0.336898434435777</v>
      </c>
      <c r="C52" s="6">
        <f t="shared" si="18"/>
        <v>0.04443161901158491</v>
      </c>
      <c r="D52" s="6">
        <f t="shared" si="19"/>
        <v>-0.1269718830731937</v>
      </c>
      <c r="E52" s="7">
        <f t="shared" si="20"/>
        <v>0.3628465369886528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5">
        <f ca="1" t="shared" si="16"/>
        <v>0.15288680981975133</v>
      </c>
      <c r="B53" s="6">
        <f ca="1" t="shared" si="17"/>
        <v>1.8780574364802016</v>
      </c>
      <c r="C53" s="6">
        <f t="shared" si="18"/>
        <v>0.12271461032764903</v>
      </c>
      <c r="D53" s="6">
        <f t="shared" si="19"/>
        <v>-0.328864740061128</v>
      </c>
      <c r="E53" s="7">
        <f t="shared" si="20"/>
        <v>0.8813295903943833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5">
        <f ca="1" t="shared" si="16"/>
        <v>0.13741716652994906</v>
      </c>
      <c r="B54" s="6">
        <f ca="1" t="shared" si="17"/>
        <v>1.9847339686432377</v>
      </c>
      <c r="C54" s="6">
        <f t="shared" si="18"/>
        <v>0.13379215190092975</v>
      </c>
      <c r="D54" s="6">
        <f t="shared" si="19"/>
        <v>-0.3824072359911977</v>
      </c>
      <c r="E54" s="7">
        <f t="shared" si="20"/>
        <v>1.0930035286876296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5">
        <f ca="1" t="shared" si="16"/>
        <v>0.6040887369695567</v>
      </c>
      <c r="B55" s="6">
        <f ca="1" t="shared" si="17"/>
        <v>0.504034176325838</v>
      </c>
      <c r="C55" s="6">
        <f t="shared" si="18"/>
        <v>0.010179896901436308</v>
      </c>
      <c r="D55" s="6">
        <f t="shared" si="19"/>
        <v>-0.04391290932498012</v>
      </c>
      <c r="E55" s="7">
        <f t="shared" si="20"/>
        <v>0.18942663408623037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5">
        <f ca="1" t="shared" si="16"/>
        <v>0.0657007281980384</v>
      </c>
      <c r="B56" s="6">
        <f ca="1" t="shared" si="17"/>
        <v>2.722645269869002</v>
      </c>
      <c r="C56" s="6">
        <f t="shared" si="18"/>
        <v>0.191399716993255</v>
      </c>
      <c r="D56" s="6">
        <f t="shared" si="19"/>
        <v>-0.7802151686233683</v>
      </c>
      <c r="E56" s="7">
        <f t="shared" si="20"/>
        <v>3.180442055572334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5">
        <f ca="1" t="shared" si="16"/>
        <v>0.7443110580049845</v>
      </c>
      <c r="B57" s="6">
        <f ca="1" t="shared" si="17"/>
        <v>0.29529624280740274</v>
      </c>
      <c r="C57" s="6">
        <f t="shared" si="18"/>
        <v>0.05813779162702247</v>
      </c>
      <c r="D57" s="6">
        <f t="shared" si="19"/>
        <v>-0.15527253921872528</v>
      </c>
      <c r="E57" s="7">
        <f t="shared" si="20"/>
        <v>0.4146968909672937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5">
        <f ca="1" t="shared" si="16"/>
        <v>0.8783147667437223</v>
      </c>
      <c r="B58" s="6">
        <f ca="1" t="shared" si="17"/>
        <v>0.12975024533039853</v>
      </c>
      <c r="C58" s="6">
        <f t="shared" si="18"/>
        <v>0.1407161434405542</v>
      </c>
      <c r="D58" s="6">
        <f t="shared" si="19"/>
        <v>-0.3036667223452629</v>
      </c>
      <c r="E58" s="7">
        <f t="shared" si="20"/>
        <v>0.6553155594323884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5">
        <f ca="1" t="shared" si="16"/>
        <v>0.06458544116703013</v>
      </c>
      <c r="B59" s="6">
        <f ca="1" t="shared" si="17"/>
        <v>2.739766262524397</v>
      </c>
      <c r="C59" s="6">
        <f t="shared" si="18"/>
        <v>0.19237682035628623</v>
      </c>
      <c r="D59" s="6">
        <f t="shared" si="19"/>
        <v>-0.7897135498069151</v>
      </c>
      <c r="E59" s="7">
        <f t="shared" si="20"/>
        <v>3.2418016349039855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5">
        <f ca="1" t="shared" si="16"/>
        <v>0.6288717283900136</v>
      </c>
      <c r="B60" s="6">
        <f ca="1" t="shared" si="17"/>
        <v>0.46382797250577096</v>
      </c>
      <c r="C60" s="6">
        <f t="shared" si="18"/>
        <v>0.015795076954135335</v>
      </c>
      <c r="D60" s="6">
        <f t="shared" si="19"/>
        <v>-0.05975230689375554</v>
      </c>
      <c r="E60" s="7">
        <f t="shared" si="20"/>
        <v>0.2260412019196139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5">
        <f ca="1" t="shared" si="16"/>
        <v>0.5770050732107499</v>
      </c>
      <c r="B61" s="6">
        <f ca="1" t="shared" si="17"/>
        <v>0.5499042201197096</v>
      </c>
      <c r="C61" s="6">
        <f t="shared" si="18"/>
        <v>0.005448183497697521</v>
      </c>
      <c r="D61" s="6">
        <f t="shared" si="19"/>
        <v>-0.028739489241365088</v>
      </c>
      <c r="E61" s="7">
        <f t="shared" si="20"/>
        <v>0.1516025005772293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5">
        <f ca="1" t="shared" si="16"/>
        <v>0.9683717730145682</v>
      </c>
      <c r="B62" s="6">
        <f ca="1" t="shared" si="17"/>
        <v>0.03213920240730918</v>
      </c>
      <c r="C62" s="6">
        <f t="shared" si="18"/>
        <v>0.21639104725774566</v>
      </c>
      <c r="D62" s="6">
        <f t="shared" si="19"/>
        <v>-0.421975836368219</v>
      </c>
      <c r="E62" s="7">
        <f t="shared" si="20"/>
        <v>0.8228788054552205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5">
        <f ca="1" t="shared" si="16"/>
        <v>0.506411094267037</v>
      </c>
      <c r="B63" s="6">
        <f ca="1" t="shared" si="17"/>
        <v>0.6804065002818871</v>
      </c>
      <c r="C63" s="6">
        <f t="shared" si="18"/>
        <v>1.0354445522664733E-05</v>
      </c>
      <c r="D63" s="6">
        <f t="shared" si="19"/>
        <v>-0.0008329660992227685</v>
      </c>
      <c r="E63" s="7">
        <f t="shared" si="20"/>
        <v>0.06700817739932792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5">
        <f ca="1" t="shared" si="16"/>
        <v>0.5933053666752053</v>
      </c>
      <c r="B64" s="6">
        <f ca="1" t="shared" si="17"/>
        <v>0.522046060292066</v>
      </c>
      <c r="C64" s="6">
        <f t="shared" si="18"/>
        <v>0.008120191437667871</v>
      </c>
      <c r="D64" s="6">
        <f t="shared" si="19"/>
        <v>-0.03759655594645216</v>
      </c>
      <c r="E64" s="7">
        <f t="shared" si="20"/>
        <v>0.17407237623460103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5">
        <f ca="1" t="shared" si="16"/>
        <v>0.8947912878564952</v>
      </c>
      <c r="B65" s="6">
        <f ca="1" t="shared" si="17"/>
        <v>0.11116478582784958</v>
      </c>
      <c r="C65" s="6">
        <f t="shared" si="18"/>
        <v>0.15334901397930664</v>
      </c>
      <c r="D65" s="6">
        <f t="shared" si="19"/>
        <v>-0.3242827530107949</v>
      </c>
      <c r="E65" s="7">
        <f t="shared" si="20"/>
        <v>0.685751418750242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5">
        <f aca="true" ca="1" t="shared" si="21" ref="A66:A101">RAND()</f>
        <v>0.92157544322614</v>
      </c>
      <c r="B66" s="6">
        <f aca="true" ca="1" t="shared" si="22" ref="B66:B97">IF(ind=1,-LN(RAND()),-LN(A66))</f>
        <v>0.08167063520048559</v>
      </c>
      <c r="C66" s="6">
        <f aca="true" t="shared" si="23" ref="C66:C101">(A66-Ubar)^2</f>
        <v>0.17504364970066746</v>
      </c>
      <c r="D66" s="6">
        <f aca="true" t="shared" si="24" ref="D66:D101">(A66-Ubar)*(B66-Ebar)</f>
        <v>-0.35880256840116587</v>
      </c>
      <c r="E66" s="7">
        <f aca="true" t="shared" si="25" ref="E66:E101">(B66-Ebar)^2</f>
        <v>0.7354696003620999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5">
        <f ca="1" t="shared" si="21"/>
        <v>0.6372965675409219</v>
      </c>
      <c r="B67" s="6">
        <f ca="1" t="shared" si="22"/>
        <v>0.45052016261563355</v>
      </c>
      <c r="C67" s="6">
        <f t="shared" si="23"/>
        <v>0.017983696599672108</v>
      </c>
      <c r="D67" s="6">
        <f t="shared" si="24"/>
        <v>-0.06554241607114239</v>
      </c>
      <c r="E67" s="7">
        <f t="shared" si="25"/>
        <v>0.23887237424373967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5">
        <f ca="1" t="shared" si="21"/>
        <v>0.007203357041215774</v>
      </c>
      <c r="B68" s="6">
        <f ca="1" t="shared" si="22"/>
        <v>4.93320810589914</v>
      </c>
      <c r="C68" s="6">
        <f t="shared" si="23"/>
        <v>0.24600598566320508</v>
      </c>
      <c r="D68" s="6">
        <f t="shared" si="24"/>
        <v>-1.980955025423038</v>
      </c>
      <c r="E68" s="7">
        <f t="shared" si="25"/>
        <v>15.95157452030943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5">
        <f ca="1" t="shared" si="21"/>
        <v>0.7503220668500339</v>
      </c>
      <c r="B69" s="6">
        <f ca="1" t="shared" si="22"/>
        <v>0.28725274216050933</v>
      </c>
      <c r="C69" s="6">
        <f t="shared" si="23"/>
        <v>0.0610726462652399</v>
      </c>
      <c r="D69" s="6">
        <f t="shared" si="24"/>
        <v>-0.16113122709438168</v>
      </c>
      <c r="E69" s="7">
        <f t="shared" si="25"/>
        <v>0.4251211292234188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2.75">
      <c r="A70" s="5">
        <f ca="1" t="shared" si="21"/>
        <v>0.5896684200779454</v>
      </c>
      <c r="B70" s="6">
        <f ca="1" t="shared" si="22"/>
        <v>0.5281948999313798</v>
      </c>
      <c r="C70" s="6">
        <f t="shared" si="23"/>
        <v>0.007477952992121125</v>
      </c>
      <c r="D70" s="6">
        <f t="shared" si="24"/>
        <v>-0.03554742786957986</v>
      </c>
      <c r="E70" s="7">
        <f t="shared" si="25"/>
        <v>0.16897934895744193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2.75">
      <c r="A71" s="5">
        <f ca="1" t="shared" si="21"/>
        <v>0.25937610276867584</v>
      </c>
      <c r="B71" s="6">
        <f ca="1" t="shared" si="22"/>
        <v>1.3494761363679442</v>
      </c>
      <c r="C71" s="6">
        <f t="shared" si="23"/>
        <v>0.05944680705805284</v>
      </c>
      <c r="D71" s="6">
        <f t="shared" si="24"/>
        <v>-0.10001629983323078</v>
      </c>
      <c r="E71" s="7">
        <f t="shared" si="25"/>
        <v>0.16827245612303493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2.75">
      <c r="A72" s="5">
        <f ca="1" t="shared" si="21"/>
        <v>0.9478998637136344</v>
      </c>
      <c r="B72" s="6">
        <f ca="1" t="shared" si="22"/>
        <v>0.053506411300306825</v>
      </c>
      <c r="C72" s="6">
        <f t="shared" si="23"/>
        <v>0.19776396174919003</v>
      </c>
      <c r="D72" s="6">
        <f t="shared" si="24"/>
        <v>-0.39390308248403405</v>
      </c>
      <c r="E72" s="7">
        <f t="shared" si="25"/>
        <v>0.7845698327342455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2.75">
      <c r="A73" s="5">
        <f ca="1" t="shared" si="21"/>
        <v>0.13427163044453394</v>
      </c>
      <c r="B73" s="6">
        <f ca="1" t="shared" si="22"/>
        <v>2.007890437942022</v>
      </c>
      <c r="C73" s="6">
        <f t="shared" si="23"/>
        <v>0.13610317011216008</v>
      </c>
      <c r="D73" s="6">
        <f t="shared" si="24"/>
        <v>-0.3942387160277557</v>
      </c>
      <c r="E73" s="7">
        <f t="shared" si="25"/>
        <v>1.1419584502486697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5">
        <f ca="1" t="shared" si="21"/>
        <v>0.49681624044812445</v>
      </c>
      <c r="B74" s="6">
        <f ca="1" t="shared" si="22"/>
        <v>0.6995350587842062</v>
      </c>
      <c r="C74" s="6">
        <f t="shared" si="23"/>
        <v>4.066640184398456E-05</v>
      </c>
      <c r="D74" s="6">
        <f t="shared" si="24"/>
        <v>0.001528768562238058</v>
      </c>
      <c r="E74" s="7">
        <f t="shared" si="25"/>
        <v>0.057470865651054186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2.75">
      <c r="A75" s="5">
        <f ca="1" t="shared" si="21"/>
        <v>0.2197698694493022</v>
      </c>
      <c r="B75" s="6">
        <f ca="1" t="shared" si="22"/>
        <v>1.5151743280774914</v>
      </c>
      <c r="C75" s="6">
        <f t="shared" si="23"/>
        <v>0.08032881935476462</v>
      </c>
      <c r="D75" s="6">
        <f t="shared" si="24"/>
        <v>-0.16322592664617222</v>
      </c>
      <c r="E75" s="7">
        <f t="shared" si="25"/>
        <v>0.33167054294470116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2.75">
      <c r="A76" s="5">
        <f ca="1" t="shared" si="21"/>
        <v>0.4969582477464414</v>
      </c>
      <c r="B76" s="6">
        <f ca="1" t="shared" si="22"/>
        <v>0.699249264972893</v>
      </c>
      <c r="C76" s="6">
        <f t="shared" si="23"/>
        <v>3.887540075816373E-05</v>
      </c>
      <c r="D76" s="6">
        <f t="shared" si="24"/>
        <v>0.0014965069647286968</v>
      </c>
      <c r="E76" s="7">
        <f t="shared" si="25"/>
        <v>0.05760797449814587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2.75">
      <c r="A77" s="5">
        <f ca="1" t="shared" si="21"/>
        <v>0.4346411409570221</v>
      </c>
      <c r="B77" s="6">
        <f ca="1" t="shared" si="22"/>
        <v>0.8332345516801436</v>
      </c>
      <c r="C77" s="6">
        <f t="shared" si="23"/>
        <v>0.004699393277678533</v>
      </c>
      <c r="D77" s="6">
        <f t="shared" si="24"/>
        <v>0.007268672294950497</v>
      </c>
      <c r="E77" s="7">
        <f t="shared" si="25"/>
        <v>0.011242642147515762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2.75">
      <c r="A78" s="5">
        <f ca="1" t="shared" si="21"/>
        <v>0.7865882396821056</v>
      </c>
      <c r="B78" s="6">
        <f ca="1" t="shared" si="22"/>
        <v>0.240050369919857</v>
      </c>
      <c r="C78" s="6">
        <f t="shared" si="23"/>
        <v>0.08031271346561439</v>
      </c>
      <c r="D78" s="6">
        <f t="shared" si="24"/>
        <v>-0.19815416340037809</v>
      </c>
      <c r="E78" s="7">
        <f t="shared" si="25"/>
        <v>0.4889023266498765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2.75">
      <c r="A79" s="5">
        <f ca="1" t="shared" si="21"/>
        <v>0.49214324672458476</v>
      </c>
      <c r="B79" s="6">
        <f ca="1" t="shared" si="22"/>
        <v>0.7089854529870749</v>
      </c>
      <c r="C79" s="6">
        <f t="shared" si="23"/>
        <v>0.0001221028340709123</v>
      </c>
      <c r="D79" s="6">
        <f t="shared" si="24"/>
        <v>0.002544602176675206</v>
      </c>
      <c r="E79" s="7">
        <f t="shared" si="25"/>
        <v>0.05302907411452698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2.75">
      <c r="A80" s="5">
        <f ca="1" t="shared" si="21"/>
        <v>0.9776175077107376</v>
      </c>
      <c r="B80" s="6">
        <f ca="1" t="shared" si="22"/>
        <v>0.02263678185575559</v>
      </c>
      <c r="C80" s="6">
        <f t="shared" si="23"/>
        <v>0.22507836506915913</v>
      </c>
      <c r="D80" s="6">
        <f t="shared" si="24"/>
        <v>-0.4348710676500816</v>
      </c>
      <c r="E80" s="7">
        <f t="shared" si="25"/>
        <v>0.8402088997803664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2.75">
      <c r="A81" s="5">
        <f ca="1" t="shared" si="21"/>
        <v>0.3560931480489078</v>
      </c>
      <c r="B81" s="6">
        <f ca="1" t="shared" si="22"/>
        <v>1.0325629305322002</v>
      </c>
      <c r="C81" s="6">
        <f t="shared" si="23"/>
        <v>0.02163844347761861</v>
      </c>
      <c r="D81" s="6">
        <f t="shared" si="24"/>
        <v>-0.013724007053400709</v>
      </c>
      <c r="E81" s="7">
        <f t="shared" si="25"/>
        <v>0.008704340023191023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2.75">
      <c r="A82" s="5">
        <f ca="1" t="shared" si="21"/>
        <v>0.5537930001642526</v>
      </c>
      <c r="B82" s="6">
        <f ca="1" t="shared" si="22"/>
        <v>0.590964307970782</v>
      </c>
      <c r="C82" s="6">
        <f t="shared" si="23"/>
        <v>0.002560333518391221</v>
      </c>
      <c r="D82" s="6">
        <f t="shared" si="24"/>
        <v>-0.017623968297836728</v>
      </c>
      <c r="E82" s="7">
        <f t="shared" si="25"/>
        <v>0.1213139836400382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2.75">
      <c r="A83" s="5">
        <f ca="1" t="shared" si="21"/>
        <v>0.6890082358015475</v>
      </c>
      <c r="B83" s="6">
        <f ca="1" t="shared" si="22"/>
        <v>0.37250205477206993</v>
      </c>
      <c r="C83" s="6">
        <f t="shared" si="23"/>
        <v>0.03452720454799413</v>
      </c>
      <c r="D83" s="6">
        <f t="shared" si="24"/>
        <v>-0.10531320504298702</v>
      </c>
      <c r="E83" s="7">
        <f t="shared" si="25"/>
        <v>0.3212212312470734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5">
        <f ca="1" t="shared" si="21"/>
        <v>0.4264474112113579</v>
      </c>
      <c r="B84" s="6">
        <f ca="1" t="shared" si="22"/>
        <v>0.8522662227915287</v>
      </c>
      <c r="C84" s="6">
        <f t="shared" si="23"/>
        <v>0.005889925588852804</v>
      </c>
      <c r="D84" s="6">
        <f t="shared" si="24"/>
        <v>0.006676862538517976</v>
      </c>
      <c r="E84" s="7">
        <f t="shared" si="25"/>
        <v>0.007568939995207609</v>
      </c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2.75">
      <c r="A85" s="5">
        <f ca="1" t="shared" si="21"/>
        <v>0.8625748692639919</v>
      </c>
      <c r="B85" s="6">
        <f ca="1" t="shared" si="22"/>
        <v>0.14783332890019468</v>
      </c>
      <c r="C85" s="6">
        <f t="shared" si="23"/>
        <v>0.1291551397540015</v>
      </c>
      <c r="D85" s="6">
        <f t="shared" si="24"/>
        <v>-0.28442630163933663</v>
      </c>
      <c r="E85" s="7">
        <f t="shared" si="25"/>
        <v>0.6263654796728637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2.75">
      <c r="A86" s="5">
        <f ca="1" t="shared" si="21"/>
        <v>0.13125587430556251</v>
      </c>
      <c r="B86" s="6">
        <f ca="1" t="shared" si="22"/>
        <v>2.0306066218981416</v>
      </c>
      <c r="C86" s="6">
        <f t="shared" si="23"/>
        <v>0.13833742024661574</v>
      </c>
      <c r="D86" s="6">
        <f t="shared" si="24"/>
        <v>-0.4059104252202618</v>
      </c>
      <c r="E86" s="7">
        <f t="shared" si="25"/>
        <v>1.1910246194324592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2.75">
      <c r="A87" s="5">
        <f ca="1" t="shared" si="21"/>
        <v>0.545485019925791</v>
      </c>
      <c r="B87" s="6">
        <f ca="1" t="shared" si="22"/>
        <v>0.6060799352670281</v>
      </c>
      <c r="C87" s="6">
        <f t="shared" si="23"/>
        <v>0.0017885928019104969</v>
      </c>
      <c r="D87" s="6">
        <f t="shared" si="24"/>
        <v>-0.014091019284628779</v>
      </c>
      <c r="E87" s="7">
        <f t="shared" si="25"/>
        <v>0.11101287239202258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2.75">
      <c r="A88" s="5">
        <f ca="1" t="shared" si="21"/>
        <v>0.5457728261956929</v>
      </c>
      <c r="B88" s="6">
        <f ca="1" t="shared" si="22"/>
        <v>0.605552459056712</v>
      </c>
      <c r="C88" s="6">
        <f t="shared" si="23"/>
        <v>0.001813019300643499</v>
      </c>
      <c r="D88" s="6">
        <f t="shared" si="24"/>
        <v>-0.01420937199521477</v>
      </c>
      <c r="E88" s="7">
        <f t="shared" si="25"/>
        <v>0.111364645939914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2.75">
      <c r="A89" s="5">
        <f ca="1" t="shared" si="21"/>
        <v>0.17276232903120814</v>
      </c>
      <c r="B89" s="6">
        <f ca="1" t="shared" si="22"/>
        <v>1.755838449669973</v>
      </c>
      <c r="C89" s="6">
        <f t="shared" si="23"/>
        <v>0.10918460135748659</v>
      </c>
      <c r="D89" s="6">
        <f t="shared" si="24"/>
        <v>-0.2698208365849637</v>
      </c>
      <c r="E89" s="7">
        <f t="shared" si="25"/>
        <v>0.6667907649086974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2.75">
      <c r="A90" s="5">
        <f ca="1" t="shared" si="21"/>
        <v>0.7000582894928258</v>
      </c>
      <c r="B90" s="6">
        <f ca="1" t="shared" si="22"/>
        <v>0.35659167670150815</v>
      </c>
      <c r="C90" s="6">
        <f t="shared" si="23"/>
        <v>0.038755839112391416</v>
      </c>
      <c r="D90" s="6">
        <f t="shared" si="24"/>
        <v>-0.11470817273803313</v>
      </c>
      <c r="E90" s="7">
        <f t="shared" si="25"/>
        <v>0.3395092247839228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2.75">
      <c r="A91" s="5">
        <f ca="1" t="shared" si="21"/>
        <v>0.2859479995744829</v>
      </c>
      <c r="B91" s="6">
        <f ca="1" t="shared" si="22"/>
        <v>1.2519453043631246</v>
      </c>
      <c r="C91" s="6">
        <f t="shared" si="23"/>
        <v>0.04719550397720664</v>
      </c>
      <c r="D91" s="6">
        <f t="shared" si="24"/>
        <v>-0.06792812399953677</v>
      </c>
      <c r="E91" s="7">
        <f t="shared" si="25"/>
        <v>0.09776842371097284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2.75">
      <c r="A92" s="5">
        <f ca="1" t="shared" si="21"/>
        <v>0.08211116290801379</v>
      </c>
      <c r="B92" s="6">
        <f ca="1" t="shared" si="22"/>
        <v>2.4996813045555712</v>
      </c>
      <c r="C92" s="6">
        <f t="shared" si="23"/>
        <v>0.17731013404172943</v>
      </c>
      <c r="D92" s="6">
        <f t="shared" si="24"/>
        <v>-0.6570630030483517</v>
      </c>
      <c r="E92" s="7">
        <f t="shared" si="25"/>
        <v>2.434896303633223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2.75">
      <c r="A93" s="5">
        <f ca="1" t="shared" si="21"/>
        <v>0.8559858041821422</v>
      </c>
      <c r="B93" s="6">
        <f ca="1" t="shared" si="22"/>
        <v>0.1555014868772759</v>
      </c>
      <c r="C93" s="6">
        <f t="shared" si="23"/>
        <v>0.12446257793159345</v>
      </c>
      <c r="D93" s="6">
        <f t="shared" si="24"/>
        <v>-0.2765062321180387</v>
      </c>
      <c r="E93" s="7">
        <f t="shared" si="25"/>
        <v>0.6142866206912083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2.75">
      <c r="A94" s="5">
        <f ca="1" t="shared" si="21"/>
        <v>0.24638081102433373</v>
      </c>
      <c r="B94" s="6">
        <f ca="1" t="shared" si="22"/>
        <v>1.4008769276916775</v>
      </c>
      <c r="C94" s="6">
        <f t="shared" si="23"/>
        <v>0.06595263489441398</v>
      </c>
      <c r="D94" s="6">
        <f t="shared" si="24"/>
        <v>-0.11854746501183867</v>
      </c>
      <c r="E94" s="7">
        <f t="shared" si="25"/>
        <v>0.2130847612568002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2.75">
      <c r="A95" s="5">
        <f ca="1" t="shared" si="21"/>
        <v>0.4100664644747103</v>
      </c>
      <c r="B95" s="6">
        <f ca="1" t="shared" si="22"/>
        <v>0.8914360239470394</v>
      </c>
      <c r="C95" s="6">
        <f t="shared" si="23"/>
        <v>0.008672600387684344</v>
      </c>
      <c r="D95" s="6">
        <f t="shared" si="24"/>
        <v>0.004454241120458238</v>
      </c>
      <c r="E95" s="7">
        <f t="shared" si="25"/>
        <v>0.002287694932578183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2.75">
      <c r="A96" s="5">
        <f ca="1" t="shared" si="21"/>
        <v>0.3135834972354148</v>
      </c>
      <c r="B96" s="6">
        <f ca="1" t="shared" si="22"/>
        <v>1.159689615502115</v>
      </c>
      <c r="C96" s="6">
        <f t="shared" si="23"/>
        <v>0.03595186283374952</v>
      </c>
      <c r="D96" s="6">
        <f t="shared" si="24"/>
        <v>-0.041794492993427225</v>
      </c>
      <c r="E96" s="7">
        <f t="shared" si="25"/>
        <v>0.04858662408274049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5">
        <f ca="1" t="shared" si="21"/>
        <v>0.24818100003249377</v>
      </c>
      <c r="B97" s="6">
        <f ca="1" t="shared" si="22"/>
        <v>1.3935969601793052</v>
      </c>
      <c r="C97" s="6">
        <f t="shared" si="23"/>
        <v>0.06503125367264183</v>
      </c>
      <c r="D97" s="6">
        <f t="shared" si="24"/>
        <v>-0.11585999689280098</v>
      </c>
      <c r="E97" s="7">
        <f t="shared" si="25"/>
        <v>0.20641673229263052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2.75">
      <c r="A98" s="5">
        <f ca="1" t="shared" si="21"/>
        <v>0.9221388904103813</v>
      </c>
      <c r="B98" s="6">
        <f ca="1">IF(ind=1,-LN(RAND()),-LN(A98))</f>
        <v>0.0810594264123315</v>
      </c>
      <c r="C98" s="6">
        <f t="shared" si="23"/>
        <v>0.17551543969747338</v>
      </c>
      <c r="D98" s="6">
        <f t="shared" si="24"/>
        <v>-0.3595418412758441</v>
      </c>
      <c r="E98" s="7">
        <f t="shared" si="25"/>
        <v>0.7365183134363602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5">
        <f ca="1" t="shared" si="21"/>
        <v>0.7624030035886735</v>
      </c>
      <c r="B99" s="6">
        <f ca="1">IF(ind=1,-LN(RAND()),-LN(A99))</f>
        <v>0.2712799870005432</v>
      </c>
      <c r="C99" s="6">
        <f t="shared" si="23"/>
        <v>0.0671896902169447</v>
      </c>
      <c r="D99" s="6">
        <f t="shared" si="24"/>
        <v>-0.1731484502804592</v>
      </c>
      <c r="E99" s="7">
        <f t="shared" si="25"/>
        <v>0.44620515048845744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2.75">
      <c r="A100" s="5">
        <f ca="1" t="shared" si="21"/>
        <v>0.9787475174263229</v>
      </c>
      <c r="B100" s="6">
        <f ca="1">IF(ind=1,-LN(RAND()),-LN(A100))</f>
        <v>0.02148156815408518</v>
      </c>
      <c r="C100" s="6">
        <f t="shared" si="23"/>
        <v>0.22615185000540072</v>
      </c>
      <c r="D100" s="6">
        <f t="shared" si="24"/>
        <v>-0.4364562342261801</v>
      </c>
      <c r="E100" s="7">
        <f t="shared" si="25"/>
        <v>0.8423280392813456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 thickBot="1">
      <c r="A101" s="8">
        <f ca="1" t="shared" si="21"/>
        <v>0.4294711386122321</v>
      </c>
      <c r="B101" s="9">
        <f ca="1">IF(ind=1,-LN(RAND()),-LN(A101))</f>
        <v>0.8452007374589212</v>
      </c>
      <c r="C101" s="9">
        <f t="shared" si="23"/>
        <v>0.00543495145334368</v>
      </c>
      <c r="D101" s="9">
        <f t="shared" si="24"/>
        <v>0.006934681877752765</v>
      </c>
      <c r="E101" s="10">
        <f t="shared" si="25"/>
        <v>0.008848250652919247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mergeCells count="6">
    <mergeCell ref="H4:H5"/>
    <mergeCell ref="P8:Q8"/>
    <mergeCell ref="P1:Q1"/>
    <mergeCell ref="L4:M5"/>
    <mergeCell ref="J4:K5"/>
    <mergeCell ref="I4:I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Júlíus Atlason</dc:creator>
  <cp:keywords/>
  <dc:description/>
  <cp:lastModifiedBy>Júlíus Atlason</cp:lastModifiedBy>
  <dcterms:created xsi:type="dcterms:W3CDTF">2004-11-04T01:15:55Z</dcterms:created>
  <dcterms:modified xsi:type="dcterms:W3CDTF">2004-11-10T01:33:18Z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